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lcwillia\Downloads\Feustel STA Application - July 2025\"/>
    </mc:Choice>
  </mc:AlternateContent>
  <xr:revisionPtr revIDLastSave="0" documentId="13_ncr:1_{744CCBE9-030F-430D-BD4B-D31F96B7EC82}" xr6:coauthVersionLast="47" xr6:coauthVersionMax="47" xr10:uidLastSave="{00000000-0000-0000-0000-000000000000}"/>
  <bookViews>
    <workbookView xWindow="-23148" yWindow="-108" windowWidth="23256" windowHeight="12576" xr2:uid="{00000000-000D-0000-FFFF-FFFF00000000}"/>
  </bookViews>
  <sheets>
    <sheet name="21C+01" sheetId="6" r:id="rId1"/>
    <sheet name="HPA-data" sheetId="5" state="hidden" r:id="rId2"/>
  </sheets>
  <externalReferences>
    <externalReference r:id="rId3"/>
  </externalReferences>
  <definedNames>
    <definedName name="ALC_ON" comment="ALC indicator">'21C+01'!$B$6</definedName>
    <definedName name="Av_AllSites" localSheetId="0">OFFSET('21C+01'!$C$41,0,0,1,COUNTA('21C+01'!$A$41:$XFC$41))</definedName>
    <definedName name="Av_Highest" localSheetId="0">MAX('21C+01'!Av_AllSites)</definedName>
    <definedName name="Av_Lowest" localSheetId="0">MIN('21C+01'!Av_AllSites)</definedName>
    <definedName name="HPA_Klys_C" localSheetId="1">'HPA-data'!$D$92:$D$93</definedName>
    <definedName name="HPA_Klys_Ku" localSheetId="1">'HPA-data'!$D$94</definedName>
    <definedName name="HPA_Lin_TWTA_C" localSheetId="1">'HPA-data'!$D$75:$D$79</definedName>
    <definedName name="HPA_Lin_TWTA_Ka" localSheetId="1">'HPA-data'!$D$87:$D$91</definedName>
    <definedName name="HPA_Lin_TWTA_Ku" localSheetId="1">'HPA-data'!$D$80:$D$85</definedName>
    <definedName name="HPA_SSPA_C" localSheetId="1">'HPA-data'!$D$2:$D$20</definedName>
    <definedName name="HPA_SSPA_Ka" localSheetId="1">'HPA-data'!$D$50:$D$57</definedName>
    <definedName name="HPA_SSPA_Ku" localSheetId="1">'HPA-data'!$D$21:$D$49</definedName>
    <definedName name="HPA_TWTA_C" localSheetId="1">'HPA-data'!$D$58:$D$62</definedName>
    <definedName name="HPA_TWTA_Ka" localSheetId="1">'HPA-data'!$D$70:$D$74</definedName>
    <definedName name="HPA_TWTA_Ku" localSheetId="1">'HPA-data'!$D$63:$D$69</definedName>
    <definedName name="HPA_type">'HPA-data'!$B$2:$B$111</definedName>
    <definedName name="Margin_AllSites" localSheetId="0">OFFSET('21C+01'!$C$39,0,0,1,COUNTA('21C+01'!$A$39:$XFC$39))</definedName>
    <definedName name="Margin_highest" localSheetId="0">MAX('21C+01'!Margin_AllSites)</definedName>
    <definedName name="Margin_lowest" localSheetId="0">MIN('21C+01'!Margin_AllSites)</definedName>
    <definedName name="SLBT_RxESID" localSheetId="1">CONCATENATE('[1]TR&gt;&gt;CXRBS|CXR|NAME'!A166," ",'[1]TR&gt;&gt;CXRBS|CXR|NAME'!A167)</definedName>
    <definedName name="SLBT_TxESID" localSheetId="1">CONCATENATE('[1]TR&gt;&gt;CXRBS|CXR|NAME'!A4," ",'[1]TR&gt;&gt;CXRBS|CXR|NAME'!A5)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4" i="6" l="1"/>
  <c r="D135" i="6"/>
  <c r="D142" i="6"/>
  <c r="D147" i="6"/>
  <c r="D148" i="6"/>
  <c r="D153" i="6"/>
  <c r="D154" i="6"/>
  <c r="D165" i="6"/>
  <c r="D166" i="6"/>
  <c r="D98" i="6" s="1"/>
  <c r="D167" i="6"/>
  <c r="D168" i="6"/>
  <c r="D174" i="6"/>
  <c r="D178" i="6"/>
  <c r="D50" i="6" s="1"/>
  <c r="D185" i="6"/>
  <c r="D183" i="6" s="1"/>
  <c r="D186" i="6"/>
  <c r="D184" i="6" s="1"/>
  <c r="D187" i="6"/>
  <c r="D188" i="6"/>
  <c r="D189" i="6"/>
  <c r="D204" i="6"/>
  <c r="D213" i="6"/>
  <c r="D216" i="6"/>
  <c r="D222" i="6"/>
  <c r="D226" i="6" s="1"/>
  <c r="D125" i="6"/>
  <c r="D40" i="6"/>
  <c r="D41" i="6"/>
  <c r="D70" i="6"/>
  <c r="D127" i="6"/>
  <c r="D126" i="6"/>
  <c r="D123" i="6"/>
  <c r="D121" i="6"/>
  <c r="D91" i="6"/>
  <c r="D86" i="6"/>
  <c r="D85" i="6"/>
  <c r="D84" i="6"/>
  <c r="D82" i="6"/>
  <c r="D80" i="6"/>
  <c r="D62" i="6"/>
  <c r="D59" i="6"/>
  <c r="D57" i="6"/>
  <c r="D54" i="6"/>
  <c r="D44" i="6"/>
  <c r="D43" i="6"/>
  <c r="D42" i="6"/>
  <c r="B38" i="6"/>
  <c r="D29" i="6"/>
  <c r="D28" i="6"/>
  <c r="D27" i="6"/>
  <c r="B27" i="6"/>
  <c r="D23" i="6"/>
  <c r="B42" i="6" l="1"/>
  <c r="D115" i="6"/>
  <c r="D60" i="6"/>
</calcChain>
</file>

<file path=xl/sharedStrings.xml><?xml version="1.0" encoding="utf-8"?>
<sst xmlns="http://schemas.openxmlformats.org/spreadsheetml/2006/main" count="539" uniqueCount="239">
  <si>
    <t>Transponder information</t>
  </si>
  <si>
    <t>MHz</t>
  </si>
  <si>
    <t>dBW</t>
  </si>
  <si>
    <t>dBW/m²</t>
  </si>
  <si>
    <t>dB/K</t>
  </si>
  <si>
    <t>dB</t>
  </si>
  <si>
    <t/>
  </si>
  <si>
    <t>LINK BUDGET</t>
  </si>
  <si>
    <t>HPA Sizing</t>
  </si>
  <si>
    <t>Spreading Factor</t>
  </si>
  <si>
    <t>Uplink Calculations</t>
  </si>
  <si>
    <t>ACM analysis (constant SR)</t>
  </si>
  <si>
    <t>CARRIER INFORMATION</t>
  </si>
  <si>
    <t>EARTH STATIONS</t>
  </si>
  <si>
    <t>Inclined (Yes,No)</t>
  </si>
  <si>
    <t>PREPARED BY</t>
  </si>
  <si>
    <t>PROJECT</t>
  </si>
  <si>
    <t>DATE</t>
  </si>
  <si>
    <t>°E</t>
  </si>
  <si>
    <t>W</t>
  </si>
  <si>
    <t>°N</t>
  </si>
  <si>
    <t xml:space="preserve">Effective (Refracted) Elevation </t>
  </si>
  <si>
    <t>REVISION</t>
  </si>
  <si>
    <t>BUSINESS PARTNER</t>
  </si>
  <si>
    <t>dBW/Hz</t>
  </si>
  <si>
    <t>Msps</t>
  </si>
  <si>
    <t xml:space="preserve">Power Equivalent Bandwidth </t>
  </si>
  <si>
    <t>Mbps</t>
  </si>
  <si>
    <t>% yr</t>
  </si>
  <si>
    <t>Achieved Link Availability</t>
  </si>
  <si>
    <t>UPC Range</t>
  </si>
  <si>
    <t xml:space="preserve">HPA Type </t>
  </si>
  <si>
    <t>Operational Band</t>
  </si>
  <si>
    <t>Output Power Watts</t>
  </si>
  <si>
    <t>SSPA</t>
  </si>
  <si>
    <t>C</t>
  </si>
  <si>
    <t>Ku</t>
  </si>
  <si>
    <t>Ka</t>
  </si>
  <si>
    <t>TWTA</t>
  </si>
  <si>
    <t>Klystron</t>
  </si>
  <si>
    <t>Satellite</t>
  </si>
  <si>
    <t>Orbital location</t>
  </si>
  <si>
    <t>Transponder ID</t>
  </si>
  <si>
    <t>Bandwidth</t>
  </si>
  <si>
    <t xml:space="preserve">Transponder Beam-Peak G/T </t>
  </si>
  <si>
    <t>Operational mode</t>
  </si>
  <si>
    <t>Allocated bandwidth</t>
  </si>
  <si>
    <t>Tx earth station ID</t>
  </si>
  <si>
    <t>Latitude</t>
  </si>
  <si>
    <t>Longitude</t>
  </si>
  <si>
    <t>Uplink aspect correction</t>
  </si>
  <si>
    <t>Symbol rate</t>
  </si>
  <si>
    <t>Required backoff</t>
  </si>
  <si>
    <t>Carrier Downlink EIRP density at beam peak</t>
  </si>
  <si>
    <t>L3Harris_FAA Telecom_Infrastr</t>
  </si>
  <si>
    <t>SES-2</t>
  </si>
  <si>
    <t>21C</t>
  </si>
  <si>
    <t>Multiple Carrier</t>
  </si>
  <si>
    <t>VLP</t>
  </si>
  <si>
    <t>HLP</t>
  </si>
  <si>
    <t>USA-33453-QMM</t>
  </si>
  <si>
    <t>Number of carriers</t>
  </si>
  <si>
    <t>TR&gt;&gt;XPDRS</t>
  </si>
  <si>
    <t>Link total Eb/No</t>
  </si>
  <si>
    <t>Noise Bandwidth</t>
  </si>
  <si>
    <t>Carrier Input Backoff in clear sky</t>
  </si>
  <si>
    <t>&lt;![CDATA[Johnny Marmolejos]]&gt;</t>
  </si>
  <si>
    <r>
      <t>C/N</t>
    </r>
    <r>
      <rPr>
        <vertAlign val="subscript"/>
        <sz val="11"/>
        <color indexed="8"/>
        <rFont val="Arial"/>
        <family val="2"/>
        <scheme val="minor"/>
      </rPr>
      <t>UP,Thermal</t>
    </r>
    <r>
      <rPr>
        <sz val="11"/>
        <color indexed="8"/>
        <rFont val="Arial"/>
        <family val="2"/>
        <scheme val="minor"/>
      </rPr>
      <t>: Uplink Thermal Noise ratio (clear sky)</t>
    </r>
  </si>
  <si>
    <t>Balanced/Power/Bandwidth limited</t>
  </si>
  <si>
    <t>Resulting uplink path availability</t>
  </si>
  <si>
    <t>Clear sky throughput</t>
  </si>
  <si>
    <t xml:space="preserve">Transponder Dlk Saturation EIRP Towards Beam-Peak </t>
  </si>
  <si>
    <t>Linearised TWTA</t>
  </si>
  <si>
    <t>Linearized TWTA</t>
  </si>
  <si>
    <r>
      <t>C/(N+I)</t>
    </r>
    <r>
      <rPr>
        <b/>
        <vertAlign val="subscript"/>
        <sz val="11"/>
        <rFont val="Arial"/>
        <family val="2"/>
      </rPr>
      <t>UP</t>
    </r>
    <r>
      <rPr>
        <b/>
        <sz val="11"/>
        <rFont val="Arial"/>
        <family val="2"/>
      </rPr>
      <t xml:space="preserve"> Uplink Thermal Noise and interference ratio (clear sky)</t>
    </r>
  </si>
  <si>
    <t>X</t>
  </si>
  <si>
    <t>Q</t>
  </si>
  <si>
    <t>Carrier Predicted Total C/(N+I)</t>
  </si>
  <si>
    <t>Center frequency and polarisation (U/D)</t>
  </si>
  <si>
    <t>Total EIRP required from E/S</t>
  </si>
  <si>
    <t>Tx Es Name</t>
  </si>
  <si>
    <t>Tx ES Code</t>
  </si>
  <si>
    <t>Rx ES Name</t>
  </si>
  <si>
    <t>Rx ES CODE</t>
  </si>
  <si>
    <t>IS CW</t>
  </si>
  <si>
    <t>Clear sky achievable modulation setting</t>
  </si>
  <si>
    <t>AV met?</t>
  </si>
  <si>
    <t>totAV</t>
  </si>
  <si>
    <t>CW action AV MET?</t>
  </si>
  <si>
    <t>CW ACTION: Av_Tot</t>
  </si>
  <si>
    <t>dummy LC</t>
  </si>
  <si>
    <t>IS RAIN</t>
  </si>
  <si>
    <t>IS SIMUL</t>
  </si>
  <si>
    <t>CW ACTION: AV UP</t>
  </si>
  <si>
    <t>CW ACTION AV DN</t>
  </si>
  <si>
    <t>Avdn</t>
  </si>
  <si>
    <t>Avup</t>
  </si>
  <si>
    <t>b/sym</t>
  </si>
  <si>
    <t>Spectral efficiency in clear sky</t>
  </si>
  <si>
    <t>Under fade : Mod Cod meeting the required availability</t>
  </si>
  <si>
    <t>Under fade: Throughput when meeting the required availability</t>
  </si>
  <si>
    <t>Under fade: Spectral efficiency at required availability</t>
  </si>
  <si>
    <t>QPSK 3/4 TPC</t>
  </si>
  <si>
    <t>deg.</t>
  </si>
  <si>
    <t>POWER DENSITY REVIEW</t>
  </si>
  <si>
    <t>Modulation setting name (clear sky)</t>
  </si>
  <si>
    <t>Information rate (clear sky)</t>
  </si>
  <si>
    <t>Uplink off-axis EIRP density at 2 deg.</t>
  </si>
  <si>
    <t>HPA_FreqBand</t>
  </si>
  <si>
    <t>HPA_Mode</t>
  </si>
  <si>
    <t>HPA_Type</t>
  </si>
  <si>
    <t>HPA type/mode</t>
  </si>
  <si>
    <t>Required Eb/No (including implementation and additional margin)</t>
  </si>
  <si>
    <t>NOISE CONTRIBUTION ANALYSIS</t>
  </si>
  <si>
    <t>Limiting factor</t>
  </si>
  <si>
    <t>Uplink EIRP density</t>
  </si>
  <si>
    <t>Carrier IBO for ALC control</t>
  </si>
  <si>
    <t>No</t>
  </si>
  <si>
    <t>Required HPA capability</t>
  </si>
  <si>
    <t>Carrier power density at antenna flange (clear sky)</t>
  </si>
  <si>
    <t>AV_Target</t>
  </si>
  <si>
    <t>CW ACTION: Av_Req</t>
  </si>
  <si>
    <t>Target Link Availability</t>
  </si>
  <si>
    <t>Carrier Name</t>
  </si>
  <si>
    <t>Carrier power density at transmit antenna flange</t>
  </si>
  <si>
    <t>Carrier Uplink EIRP density</t>
  </si>
  <si>
    <t>Carrier uplink centre frequency</t>
  </si>
  <si>
    <t>Carrier PEB</t>
  </si>
  <si>
    <t>Link margin in clear sky (For ACM carriers, residual margin in CS)</t>
  </si>
  <si>
    <t>Total C/(N+I) clear sky</t>
  </si>
  <si>
    <t>Total C/(N+I), excluding ASI, clear sky</t>
  </si>
  <si>
    <t>Aggregate code rate (clear sky)</t>
  </si>
  <si>
    <t>Carrier PFD beam peak</t>
  </si>
  <si>
    <t>Carrier PFSD beam peak</t>
  </si>
  <si>
    <t>Carrier power flux spectral density</t>
  </si>
  <si>
    <r>
      <t>C/(N+I)</t>
    </r>
    <r>
      <rPr>
        <vertAlign val="subscript"/>
        <sz val="11"/>
        <rFont val="Arial"/>
        <family val="2"/>
      </rPr>
      <t>UP</t>
    </r>
    <r>
      <rPr>
        <sz val="11"/>
        <rFont val="Arial"/>
        <family val="2"/>
      </rPr>
      <t xml:space="preserve"> Uplink Thermal Noise and Interference ratio (UL under fade)</t>
    </r>
  </si>
  <si>
    <t>Total Eb/No clear sky</t>
  </si>
  <si>
    <t>BUC</t>
  </si>
  <si>
    <t>SSPB</t>
  </si>
  <si>
    <t>Total C/(N+I)  (UL fade, DL clear)</t>
  </si>
  <si>
    <t>Total C/(N+I)  (DL fade, UL clear)</t>
  </si>
  <si>
    <t>Carrier PEB to allocated bandwidth ratio</t>
  </si>
  <si>
    <t>Summary of carrier emission levels</t>
  </si>
  <si>
    <t>Carrier FD from Uplink E/S</t>
  </si>
  <si>
    <r>
      <t>dBW/m</t>
    </r>
    <r>
      <rPr>
        <vertAlign val="superscript"/>
        <sz val="11"/>
        <color rgb="FF000000"/>
        <rFont val="Arial"/>
        <family val="2"/>
      </rPr>
      <t>2</t>
    </r>
  </si>
  <si>
    <r>
      <t>dBW/m</t>
    </r>
    <r>
      <rPr>
        <vertAlign val="superscript"/>
        <sz val="11"/>
        <color rgb="FF000000"/>
        <rFont val="Arial"/>
        <family val="2"/>
      </rPr>
      <t>2</t>
    </r>
    <r>
      <rPr>
        <sz val="11"/>
        <color indexed="8"/>
        <rFont val="Arial"/>
        <family val="2"/>
      </rPr>
      <t>/Hz</t>
    </r>
  </si>
  <si>
    <t>NAVC</t>
  </si>
  <si>
    <t>NAHC</t>
  </si>
  <si>
    <t>CW_STRING_RETURN</t>
  </si>
  <si>
    <t>Required C/N (including implementation and additional margin)</t>
  </si>
  <si>
    <r>
      <t>C/(N+I)</t>
    </r>
    <r>
      <rPr>
        <vertAlign val="subscript"/>
        <sz val="11"/>
        <rFont val="Arial"/>
        <family val="2"/>
      </rPr>
      <t>UP, NO ASI</t>
    </r>
    <r>
      <rPr>
        <sz val="11"/>
        <rFont val="Arial"/>
        <family val="2"/>
      </rPr>
      <t xml:space="preserve"> : Uplink Thermal Noise and interference ratio prior to ASI (clear sky)</t>
    </r>
  </si>
  <si>
    <t>Compliance to SES Coordination constraints</t>
  </si>
  <si>
    <t>Modem</t>
  </si>
  <si>
    <t>CW_COMP_DATARATE</t>
  </si>
  <si>
    <t>FD_COMP_DATARATE</t>
  </si>
  <si>
    <t>ALC_COMP_OD_LEVEL</t>
  </si>
  <si>
    <t>ALC: Is the overdrive limit exceeded ?</t>
  </si>
  <si>
    <t>FD_DATARATE</t>
  </si>
  <si>
    <t>Is the minimum recommended TPD OBO exceeded ?</t>
  </si>
  <si>
    <t>step 3 - CW constructed short name</t>
  </si>
  <si>
    <t>step 3 - FD constructed short name</t>
  </si>
  <si>
    <t>step 2 - CW fractional rate clean from extracted</t>
  </si>
  <si>
    <t>step 2 - FD fractional rate clean from extracted</t>
  </si>
  <si>
    <t>step 1 - CW - extract of  modcod name centered on /</t>
  </si>
  <si>
    <t>step 1 - FD - extract of  modcod name centered on /</t>
  </si>
  <si>
    <t>FD_STRING_RETURN</t>
  </si>
  <si>
    <t>CW_MODCOD_SHORT_NAME</t>
  </si>
  <si>
    <t>FD_MODCOD_SHORT_NAME</t>
  </si>
  <si>
    <t>FD_MODCOD_LONG_NAME</t>
  </si>
  <si>
    <t>CW_MODCOD_LONG_NAME</t>
  </si>
  <si>
    <t>CW MOD TYPE</t>
  </si>
  <si>
    <t>FD MOD TYPE</t>
  </si>
  <si>
    <t>CW_MODCOD_EFF_CODE_RATE</t>
  </si>
  <si>
    <t>FD_MODCOD_EFF_CODE_RATE</t>
  </si>
  <si>
    <t>constructed_fallback_CW_only</t>
  </si>
  <si>
    <t>HPA_REQUIRED_SIZE</t>
  </si>
  <si>
    <t>Post HPA Losses</t>
  </si>
  <si>
    <t>HPA Operational loss</t>
  </si>
  <si>
    <t>Feed loss</t>
  </si>
  <si>
    <t>Radome loss</t>
  </si>
  <si>
    <t>Pointing loss</t>
  </si>
  <si>
    <t>Antenna_Gain_at_boresight_CXR_freq</t>
  </si>
  <si>
    <t>HPA_COMM_SIZE_LOOKUP</t>
  </si>
  <si>
    <t>CW_MODCOD_LONG_NAME_PROCESSED</t>
  </si>
  <si>
    <t>FD_MODCOD_LONG_NAME_PROCESSED</t>
  </si>
  <si>
    <t>HPA_COMM_SIZE_TAG</t>
  </si>
  <si>
    <t xml:space="preserve">Total number of carriers </t>
  </si>
  <si>
    <t>Power constraint choice values</t>
  </si>
  <si>
    <t>Power constraint choice return string</t>
  </si>
  <si>
    <t>CW_TOTAL_EIRP</t>
  </si>
  <si>
    <t>RULK_TOTAL_EIRP</t>
  </si>
  <si>
    <t>HPA_COMM_SIZE_LOOKUP_FOR_1_CXR</t>
  </si>
  <si>
    <t>TXES_EFFECTIVE_HPA_OBO_CW</t>
  </si>
  <si>
    <t>TXES_EFFECTIVE_HPA_OBO_RDLK</t>
  </si>
  <si>
    <t>TXES_EFFECTIVE_HPA_OBO_RULK</t>
  </si>
  <si>
    <t>Closest commercial HPA size (for a single carrier)</t>
  </si>
  <si>
    <t>Closest commercial HPA size (to support all carriers)</t>
  </si>
  <si>
    <t>USA-WBN-004</t>
  </si>
  <si>
    <t>Effective antenna gain towards satellite</t>
  </si>
  <si>
    <t>Total propagation loss including uplink rain fade</t>
  </si>
  <si>
    <t>computed skew angle for Tx location</t>
  </si>
  <si>
    <t>QPSK</t>
  </si>
  <si>
    <t>Skew angle returned for transmit location</t>
  </si>
  <si>
    <t>Skew angle returned for receive location</t>
  </si>
  <si>
    <t>computed skew angle for Rx location</t>
  </si>
  <si>
    <t>No CoCos</t>
  </si>
  <si>
    <t>ITU-R S.580-6</t>
  </si>
  <si>
    <t>Single Carrier</t>
  </si>
  <si>
    <t>Rx. REF SKEW</t>
  </si>
  <si>
    <t>Tx REF SKEW</t>
  </si>
  <si>
    <t>Tx ES max-min diam. Ratio</t>
  </si>
  <si>
    <t>_QPSK_Turbo_3/4_1.25</t>
  </si>
  <si>
    <t>Rx ES max-min diam. Ratio</t>
  </si>
  <si>
    <t>Tx aligned with GSO arc</t>
  </si>
  <si>
    <t>Rx aligned with GSO arc</t>
  </si>
  <si>
    <t>Woodbine C5 (CSM, SES-2)</t>
  </si>
  <si>
    <t>processed output for Tx ES skew</t>
  </si>
  <si>
    <t>processed output for Rx ES skew</t>
  </si>
  <si>
    <t>RXES GSO misalignment angle</t>
  </si>
  <si>
    <t>TXES GSO misalignment angle</t>
  </si>
  <si>
    <t>Yes</t>
  </si>
  <si>
    <t>Effective uplink EIRP in CW</t>
  </si>
  <si>
    <t xml:space="preserve">Effective skew angle at transmit location </t>
  </si>
  <si>
    <t>Tx ES Envelope</t>
  </si>
  <si>
    <t>Tx ES Pattern</t>
  </si>
  <si>
    <t>Rx ES Envelope</t>
  </si>
  <si>
    <t>Rx ES Pattern</t>
  </si>
  <si>
    <t>Antenna CO-POL model</t>
  </si>
  <si>
    <t>Effective skew angle at transmit location</t>
  </si>
  <si>
    <t>Rx ES Dimension</t>
  </si>
  <si>
    <t>Tx ES Dimension</t>
  </si>
  <si>
    <t>Uplink pointing loss</t>
  </si>
  <si>
    <t>Antenna type</t>
  </si>
  <si>
    <t>RxES boresight gain</t>
  </si>
  <si>
    <t>RxES Antenna gain towards SAT.</t>
  </si>
  <si>
    <t>TxES boresight gain</t>
  </si>
  <si>
    <t>TxES Antenna gain towards SAT.</t>
  </si>
  <si>
    <t>L3 Harris FAA Telecom Infrastr</t>
  </si>
  <si>
    <t>Transponder Intermodulation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</si>
</sst>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0.000"/>
    <numFmt numFmtId="166" formatCode="0.000%"/>
    <numFmt numFmtId="167" formatCode="0.0000"/>
  </numFmts>
  <fonts count="41" x14ac:knownFonts="1">
    <font>
      <sz val="10"/>
      <color indexed="8"/>
      <name val="Arial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0"/>
      <color theme="0"/>
      <name val="Arial"/>
      <family val="2"/>
      <scheme val="minor"/>
    </font>
    <font>
      <u/>
      <sz val="10"/>
      <color theme="10"/>
      <name val="Arial"/>
      <family val="2"/>
      <scheme val="minor"/>
    </font>
    <font>
      <u/>
      <sz val="10"/>
      <color theme="11"/>
      <name val="Arial"/>
      <family val="2"/>
      <scheme val="minor"/>
    </font>
    <font>
      <sz val="8"/>
      <color indexed="8"/>
      <name val="Arial"/>
      <family val="2"/>
      <scheme val="minor"/>
    </font>
    <font>
      <b/>
      <sz val="8"/>
      <color theme="4"/>
      <name val="Arial"/>
      <family val="2"/>
    </font>
    <font>
      <sz val="11"/>
      <color indexed="8"/>
      <name val="Arial"/>
      <family val="2"/>
      <scheme val="minor"/>
    </font>
    <font>
      <sz val="8"/>
      <color theme="4"/>
      <name val="Arial"/>
      <family val="2"/>
      <scheme val="minor"/>
    </font>
    <font>
      <sz val="11"/>
      <color theme="0"/>
      <name val="Arial"/>
      <family val="2"/>
      <scheme val="minor"/>
    </font>
    <font>
      <sz val="6"/>
      <color theme="4"/>
      <name val="Arial"/>
      <family val="2"/>
      <scheme val="minor"/>
    </font>
    <font>
      <sz val="10"/>
      <color rgb="FFFF0000"/>
      <name val="Arial"/>
      <family val="2"/>
      <scheme val="minor"/>
    </font>
    <font>
      <sz val="8"/>
      <color rgb="FFFF0000"/>
      <name val="Arial"/>
      <family val="2"/>
      <scheme val="minor"/>
    </font>
    <font>
      <sz val="9"/>
      <color rgb="FFFF0000"/>
      <name val="Arial"/>
      <family val="2"/>
      <scheme val="minor"/>
    </font>
    <font>
      <vertAlign val="subscript"/>
      <sz val="11"/>
      <color indexed="8"/>
      <name val="Arial"/>
      <family val="2"/>
      <scheme val="minor"/>
    </font>
    <font>
      <b/>
      <vertAlign val="subscript"/>
      <sz val="11"/>
      <name val="Arial"/>
      <family val="2"/>
    </font>
    <font>
      <b/>
      <sz val="12"/>
      <color theme="0"/>
      <name val="Arial Black"/>
      <family val="2"/>
    </font>
    <font>
      <sz val="12"/>
      <color theme="0"/>
      <name val="Arial"/>
      <family val="2"/>
    </font>
    <font>
      <sz val="12"/>
      <color theme="0"/>
      <name val="Arial"/>
      <family val="2"/>
      <scheme val="minor"/>
    </font>
    <font>
      <sz val="9"/>
      <color theme="0" tint="-0.49995422223578601"/>
      <name val="Arial"/>
      <family val="2"/>
      <scheme val="minor"/>
    </font>
    <font>
      <sz val="8"/>
      <color theme="0" tint="-0.49995422223578601"/>
      <name val="Arial"/>
      <family val="2"/>
    </font>
    <font>
      <b/>
      <u/>
      <sz val="8"/>
      <color theme="0" tint="-0.49995422223578601"/>
      <name val="Arial"/>
      <family val="2"/>
    </font>
    <font>
      <b/>
      <sz val="11"/>
      <color indexed="8"/>
      <name val="Arial"/>
      <family val="2"/>
      <scheme val="minor"/>
    </font>
    <font>
      <b/>
      <sz val="11"/>
      <color indexed="8"/>
      <name val="Arial"/>
      <family val="2"/>
    </font>
    <font>
      <sz val="8"/>
      <color rgb="FFFF0000"/>
      <name val="Arial"/>
      <family val="2"/>
    </font>
    <font>
      <vertAlign val="subscript"/>
      <sz val="11"/>
      <name val="Arial"/>
      <family val="2"/>
    </font>
    <font>
      <vertAlign val="superscript"/>
      <sz val="11"/>
      <color rgb="FF000000"/>
      <name val="Arial"/>
      <family val="2"/>
    </font>
    <font>
      <sz val="6"/>
      <color rgb="FFFFFF00"/>
      <name val="Arial"/>
      <family val="2"/>
      <scheme val="minor"/>
    </font>
    <font>
      <sz val="8"/>
      <color theme="0" tint="-0.49995422223578601"/>
      <name val="Arial"/>
      <family val="2"/>
      <scheme val="minor"/>
    </font>
    <font>
      <i/>
      <sz val="8"/>
      <color theme="0" tint="-0.49995422223578601"/>
      <name val="Arial"/>
      <family val="2"/>
      <scheme val="minor"/>
    </font>
    <font>
      <sz val="10"/>
      <color theme="0" tint="-0.49995422223578601"/>
      <name val="Arial"/>
      <family val="2"/>
      <scheme val="minor"/>
    </font>
    <font>
      <sz val="6"/>
      <color rgb="FFFFFF00"/>
      <name val="Arial"/>
      <family val="2"/>
    </font>
    <font>
      <sz val="9"/>
      <color indexed="8"/>
      <name val="Arial"/>
      <family val="2"/>
      <scheme val="minor"/>
    </font>
    <font>
      <sz val="10"/>
      <color indexed="8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0" tint="-0.14990691854609822"/>
        <bgColor indexed="64"/>
      </patternFill>
    </fill>
    <fill>
      <patternFill patternType="solid">
        <fgColor theme="0" tint="-4.9897762993255407E-2"/>
        <bgColor indexed="64"/>
      </patternFill>
    </fill>
    <fill>
      <patternFill patternType="solid">
        <fgColor rgb="FF2490D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tted">
        <color theme="8"/>
      </bottom>
      <diagonal/>
    </border>
    <border>
      <left/>
      <right/>
      <top style="dotted">
        <color theme="8"/>
      </top>
      <bottom style="dotted">
        <color theme="8"/>
      </bottom>
      <diagonal/>
    </border>
    <border>
      <left/>
      <right/>
      <top style="thin">
        <color auto="1"/>
      </top>
      <bottom/>
      <diagonal/>
    </border>
    <border>
      <left/>
      <right/>
      <top style="dotted">
        <color theme="8"/>
      </top>
      <bottom/>
      <diagonal/>
    </border>
    <border>
      <left/>
      <right/>
      <top style="dotted">
        <color theme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5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</cellStyleXfs>
  <cellXfs count="184">
    <xf numFmtId="0" fontId="0" fillId="0" borderId="0" xfId="0"/>
    <xf numFmtId="164" fontId="3" fillId="2" borderId="0" xfId="0" applyNumberFormat="1" applyFont="1" applyFill="1" applyAlignment="1">
      <alignment horizontal="right"/>
    </xf>
    <xf numFmtId="0" fontId="6" fillId="3" borderId="0" xfId="0" applyFont="1" applyFill="1" applyAlignment="1" applyProtection="1">
      <alignment vertical="top"/>
      <protection locked="0"/>
    </xf>
    <xf numFmtId="0" fontId="3" fillId="2" borderId="0" xfId="0" applyFont="1" applyFill="1" applyAlignment="1">
      <alignment horizontal="right"/>
    </xf>
    <xf numFmtId="0" fontId="6" fillId="2" borderId="0" xfId="0" applyFont="1" applyFill="1" applyAlignment="1" applyProtection="1">
      <alignment vertical="top"/>
      <protection locked="0"/>
    </xf>
    <xf numFmtId="0" fontId="0" fillId="2" borderId="0" xfId="0" applyFill="1"/>
    <xf numFmtId="0" fontId="3" fillId="2" borderId="0" xfId="0" applyFont="1" applyFill="1" applyAlignment="1">
      <alignment horizontal="left"/>
    </xf>
    <xf numFmtId="2" fontId="3" fillId="2" borderId="0" xfId="0" applyNumberFormat="1" applyFont="1" applyFill="1" applyAlignment="1">
      <alignment horizontal="right"/>
    </xf>
    <xf numFmtId="165" fontId="2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right"/>
    </xf>
    <xf numFmtId="1" fontId="3" fillId="2" borderId="0" xfId="0" applyNumberFormat="1" applyFont="1" applyFill="1" applyAlignment="1">
      <alignment horizontal="right"/>
    </xf>
    <xf numFmtId="0" fontId="6" fillId="3" borderId="0" xfId="0" applyFont="1" applyFill="1" applyAlignment="1" applyProtection="1">
      <alignment horizontal="left" vertical="top"/>
      <protection locked="0"/>
    </xf>
    <xf numFmtId="0" fontId="8" fillId="2" borderId="0" xfId="0" applyFont="1" applyFill="1" applyAlignment="1">
      <alignment horizontal="left" indent="2"/>
    </xf>
    <xf numFmtId="0" fontId="0" fillId="4" borderId="0" xfId="0" applyFill="1"/>
    <xf numFmtId="0" fontId="9" fillId="4" borderId="0" xfId="0" applyFont="1" applyFill="1"/>
    <xf numFmtId="0" fontId="6" fillId="0" borderId="0" xfId="0" applyFont="1" applyAlignment="1" applyProtection="1">
      <alignment vertical="top"/>
      <protection locked="0"/>
    </xf>
    <xf numFmtId="0" fontId="6" fillId="2" borderId="1" xfId="0" applyFont="1" applyFill="1" applyBorder="1"/>
    <xf numFmtId="0" fontId="7" fillId="3" borderId="1" xfId="0" applyFont="1" applyFill="1" applyBorder="1" applyAlignment="1" applyProtection="1">
      <alignment vertical="top"/>
      <protection locked="0"/>
    </xf>
    <xf numFmtId="0" fontId="8" fillId="2" borderId="2" xfId="0" applyFont="1" applyFill="1" applyBorder="1"/>
    <xf numFmtId="0" fontId="7" fillId="2" borderId="2" xfId="0" applyFont="1" applyFill="1" applyBorder="1" applyAlignment="1" applyProtection="1">
      <alignment vertical="top"/>
      <protection locked="0"/>
    </xf>
    <xf numFmtId="0" fontId="0" fillId="0" borderId="0" xfId="0" applyAlignment="1">
      <alignment horizontal="right" indent="1"/>
    </xf>
    <xf numFmtId="0" fontId="0" fillId="2" borderId="0" xfId="0" applyFill="1" applyAlignment="1">
      <alignment horizontal="right" indent="1"/>
    </xf>
    <xf numFmtId="0" fontId="6" fillId="3" borderId="3" xfId="0" applyFont="1" applyFill="1" applyBorder="1" applyAlignment="1" applyProtection="1">
      <alignment horizontal="left" vertical="top" indent="1"/>
      <protection locked="0"/>
    </xf>
    <xf numFmtId="0" fontId="7" fillId="3" borderId="4" xfId="0" applyFont="1" applyFill="1" applyBorder="1" applyAlignment="1" applyProtection="1">
      <alignment horizontal="left" vertical="top" indent="2"/>
      <protection locked="0"/>
    </xf>
    <xf numFmtId="0" fontId="7" fillId="2" borderId="4" xfId="0" applyFont="1" applyFill="1" applyBorder="1" applyAlignment="1" applyProtection="1">
      <alignment horizontal="left" vertical="top" indent="2"/>
      <protection locked="0"/>
    </xf>
    <xf numFmtId="0" fontId="6" fillId="2" borderId="4" xfId="0" applyFont="1" applyFill="1" applyBorder="1" applyAlignment="1" applyProtection="1">
      <alignment horizontal="left" vertical="top" indent="1"/>
      <protection locked="0"/>
    </xf>
    <xf numFmtId="0" fontId="12" fillId="2" borderId="0" xfId="0" applyFont="1" applyFill="1"/>
    <xf numFmtId="0" fontId="13" fillId="2" borderId="0" xfId="0" applyFont="1" applyFill="1"/>
    <xf numFmtId="0" fontId="14" fillId="2" borderId="4" xfId="0" applyFont="1" applyFill="1" applyBorder="1" applyAlignment="1">
      <alignment horizontal="left" indent="2"/>
    </xf>
    <xf numFmtId="2" fontId="7" fillId="2" borderId="4" xfId="0" applyNumberFormat="1" applyFont="1" applyFill="1" applyBorder="1" applyAlignment="1">
      <alignment horizontal="left" indent="1"/>
    </xf>
    <xf numFmtId="0" fontId="14" fillId="2" borderId="2" xfId="0" applyFont="1" applyFill="1" applyBorder="1"/>
    <xf numFmtId="0" fontId="14" fillId="2" borderId="0" xfId="0" applyFont="1" applyFill="1"/>
    <xf numFmtId="0" fontId="7" fillId="3" borderId="4" xfId="0" applyFont="1" applyFill="1" applyBorder="1" applyAlignment="1" applyProtection="1">
      <alignment horizontal="left" vertical="top" indent="1"/>
      <protection locked="0"/>
    </xf>
    <xf numFmtId="0" fontId="6" fillId="3" borderId="5" xfId="0" applyFont="1" applyFill="1" applyBorder="1" applyAlignment="1" applyProtection="1">
      <alignment horizontal="left" vertical="top"/>
      <protection locked="0"/>
    </xf>
    <xf numFmtId="0" fontId="14" fillId="2" borderId="4" xfId="0" applyFont="1" applyFill="1" applyBorder="1" applyAlignment="1">
      <alignment horizontal="left" indent="1"/>
    </xf>
    <xf numFmtId="0" fontId="14" fillId="2" borderId="0" xfId="0" applyFont="1" applyFill="1" applyAlignment="1">
      <alignment horizontal="right"/>
    </xf>
    <xf numFmtId="0" fontId="14" fillId="2" borderId="1" xfId="0" applyFont="1" applyFill="1" applyBorder="1" applyAlignment="1">
      <alignment horizontal="right"/>
    </xf>
    <xf numFmtId="0" fontId="14" fillId="0" borderId="0" xfId="0" applyFont="1" applyAlignment="1">
      <alignment horizontal="right"/>
    </xf>
    <xf numFmtId="0" fontId="0" fillId="2" borderId="0" xfId="0" applyFill="1" applyAlignment="1">
      <alignment horizontal="right"/>
    </xf>
    <xf numFmtId="0" fontId="15" fillId="4" borderId="0" xfId="0" applyFont="1" applyFill="1"/>
    <xf numFmtId="0" fontId="40" fillId="0" borderId="0" xfId="9"/>
    <xf numFmtId="49" fontId="40" fillId="0" borderId="0" xfId="9" applyNumberFormat="1"/>
    <xf numFmtId="49" fontId="0" fillId="0" borderId="0" xfId="9" applyNumberFormat="1" applyFont="1"/>
    <xf numFmtId="1" fontId="40" fillId="0" borderId="0" xfId="9" applyNumberFormat="1"/>
    <xf numFmtId="0" fontId="17" fillId="4" borderId="0" xfId="0" applyFont="1" applyFill="1" applyAlignment="1">
      <alignment horizontal="left" indent="1"/>
    </xf>
    <xf numFmtId="2" fontId="3" fillId="2" borderId="1" xfId="0" applyNumberFormat="1" applyFont="1" applyFill="1" applyBorder="1" applyAlignment="1">
      <alignment horizontal="left" indent="1"/>
    </xf>
    <xf numFmtId="0" fontId="6" fillId="3" borderId="0" xfId="0" applyFont="1" applyFill="1" applyAlignment="1" applyProtection="1">
      <alignment horizontal="left" vertical="center" indent="1"/>
      <protection locked="0"/>
    </xf>
    <xf numFmtId="0" fontId="7" fillId="3" borderId="4" xfId="0" applyFont="1" applyFill="1" applyBorder="1" applyAlignment="1" applyProtection="1">
      <alignment horizontal="left" vertical="center" indent="2"/>
      <protection locked="0"/>
    </xf>
    <xf numFmtId="0" fontId="14" fillId="2" borderId="4" xfId="0" applyFont="1" applyFill="1" applyBorder="1" applyAlignment="1">
      <alignment horizontal="left" vertical="center" indent="2"/>
    </xf>
    <xf numFmtId="0" fontId="7" fillId="3" borderId="4" xfId="0" applyFont="1" applyFill="1" applyBorder="1" applyAlignment="1" applyProtection="1">
      <alignment horizontal="left" vertical="center" indent="1"/>
      <protection locked="0"/>
    </xf>
    <xf numFmtId="0" fontId="7" fillId="3" borderId="0" xfId="0" applyFont="1" applyFill="1" applyAlignment="1" applyProtection="1">
      <alignment horizontal="left" vertical="center" indent="1"/>
      <protection locked="0"/>
    </xf>
    <xf numFmtId="0" fontId="6" fillId="3" borderId="4" xfId="0" applyFont="1" applyFill="1" applyBorder="1" applyAlignment="1" applyProtection="1">
      <alignment horizontal="left" vertical="center" indent="1"/>
      <protection locked="0"/>
    </xf>
    <xf numFmtId="0" fontId="18" fillId="2" borderId="0" xfId="0" applyFont="1" applyFill="1" applyAlignment="1">
      <alignment horizontal="right" indent="1"/>
    </xf>
    <xf numFmtId="0" fontId="19" fillId="2" borderId="0" xfId="0" applyFont="1" applyFill="1"/>
    <xf numFmtId="0" fontId="18" fillId="2" borderId="0" xfId="0" applyFont="1" applyFill="1" applyAlignment="1">
      <alignment horizontal="left"/>
    </xf>
    <xf numFmtId="0" fontId="18" fillId="2" borderId="0" xfId="0" applyFont="1" applyFill="1"/>
    <xf numFmtId="0" fontId="16" fillId="2" borderId="3" xfId="0" applyFont="1" applyFill="1" applyBorder="1" applyAlignment="1">
      <alignment horizontal="right"/>
    </xf>
    <xf numFmtId="0" fontId="14" fillId="2" borderId="4" xfId="0" applyFont="1" applyFill="1" applyBorder="1" applyAlignment="1">
      <alignment horizontal="right"/>
    </xf>
    <xf numFmtId="0" fontId="6" fillId="2" borderId="3" xfId="0" applyFont="1" applyFill="1" applyBorder="1"/>
    <xf numFmtId="0" fontId="0" fillId="2" borderId="3" xfId="0" applyFill="1" applyBorder="1" applyAlignment="1">
      <alignment horizontal="right" indent="1"/>
    </xf>
    <xf numFmtId="0" fontId="6" fillId="2" borderId="4" xfId="0" applyFont="1" applyFill="1" applyBorder="1"/>
    <xf numFmtId="0" fontId="20" fillId="2" borderId="0" xfId="0" applyFont="1" applyFill="1" applyAlignment="1">
      <alignment horizontal="left" indent="3"/>
    </xf>
    <xf numFmtId="0" fontId="20" fillId="2" borderId="0" xfId="0" applyFont="1" applyFill="1" applyAlignment="1">
      <alignment horizontal="left" indent="2"/>
    </xf>
    <xf numFmtId="2" fontId="14" fillId="2" borderId="3" xfId="0" applyNumberFormat="1" applyFont="1" applyFill="1" applyBorder="1" applyAlignment="1">
      <alignment horizontal="left" indent="1"/>
    </xf>
    <xf numFmtId="2" fontId="7" fillId="2" borderId="1" xfId="0" applyNumberFormat="1" applyFont="1" applyFill="1" applyBorder="1" applyAlignment="1">
      <alignment horizontal="left" indent="1"/>
    </xf>
    <xf numFmtId="2" fontId="7" fillId="0" borderId="0" xfId="0" applyNumberFormat="1" applyFont="1" applyAlignment="1">
      <alignment horizontal="left" indent="1"/>
    </xf>
    <xf numFmtId="2" fontId="7" fillId="2" borderId="3" xfId="0" applyNumberFormat="1" applyFont="1" applyFill="1" applyBorder="1" applyAlignment="1">
      <alignment horizontal="left" indent="1"/>
    </xf>
    <xf numFmtId="0" fontId="4" fillId="2" borderId="3" xfId="0" applyFont="1" applyFill="1" applyBorder="1" applyAlignment="1">
      <alignment horizontal="right"/>
    </xf>
    <xf numFmtId="0" fontId="8" fillId="2" borderId="4" xfId="0" applyFont="1" applyFill="1" applyBorder="1" applyAlignment="1">
      <alignment horizontal="right"/>
    </xf>
    <xf numFmtId="0" fontId="14" fillId="2" borderId="2" xfId="0" applyFont="1" applyFill="1" applyBorder="1" applyAlignment="1">
      <alignment horizontal="right"/>
    </xf>
    <xf numFmtId="0" fontId="7" fillId="3" borderId="0" xfId="0" applyFont="1" applyFill="1" applyAlignment="1" applyProtection="1">
      <alignment horizontal="right" vertical="top"/>
      <protection locked="0"/>
    </xf>
    <xf numFmtId="0" fontId="7" fillId="2" borderId="0" xfId="0" applyFont="1" applyFill="1" applyAlignment="1" applyProtection="1">
      <alignment horizontal="right" vertical="top"/>
      <protection locked="0"/>
    </xf>
    <xf numFmtId="0" fontId="7" fillId="2" borderId="2" xfId="0" applyFont="1" applyFill="1" applyBorder="1" applyAlignment="1" applyProtection="1">
      <alignment horizontal="right" vertical="top"/>
      <protection locked="0"/>
    </xf>
    <xf numFmtId="0" fontId="7" fillId="3" borderId="2" xfId="0" applyFont="1" applyFill="1" applyBorder="1" applyAlignment="1" applyProtection="1">
      <alignment horizontal="right" vertical="top"/>
      <protection locked="0"/>
    </xf>
    <xf numFmtId="0" fontId="7" fillId="3" borderId="5" xfId="0" applyFont="1" applyFill="1" applyBorder="1" applyAlignment="1" applyProtection="1">
      <alignment horizontal="right" vertical="top"/>
      <protection locked="0"/>
    </xf>
    <xf numFmtId="0" fontId="8" fillId="2" borderId="0" xfId="0" applyFont="1" applyFill="1" applyAlignment="1">
      <alignment horizontal="right"/>
    </xf>
    <xf numFmtId="2" fontId="7" fillId="5" borderId="0" xfId="0" applyNumberFormat="1" applyFont="1" applyFill="1" applyAlignment="1">
      <alignment horizontal="left" indent="2"/>
    </xf>
    <xf numFmtId="2" fontId="14" fillId="5" borderId="0" xfId="0" applyNumberFormat="1" applyFont="1" applyFill="1" applyAlignment="1">
      <alignment horizontal="left" indent="2"/>
    </xf>
    <xf numFmtId="2" fontId="8" fillId="2" borderId="0" xfId="0" applyNumberFormat="1" applyFont="1" applyFill="1" applyAlignment="1">
      <alignment horizontal="left"/>
    </xf>
    <xf numFmtId="2" fontId="14" fillId="2" borderId="0" xfId="0" applyNumberFormat="1" applyFont="1" applyFill="1" applyAlignment="1">
      <alignment horizontal="left" indent="1"/>
    </xf>
    <xf numFmtId="2" fontId="8" fillId="2" borderId="0" xfId="0" applyNumberFormat="1" applyFont="1" applyFill="1" applyAlignment="1">
      <alignment horizontal="left" indent="1"/>
    </xf>
    <xf numFmtId="0" fontId="14" fillId="2" borderId="0" xfId="0" applyFont="1" applyFill="1" applyAlignment="1">
      <alignment horizontal="left" indent="1"/>
    </xf>
    <xf numFmtId="0" fontId="7" fillId="2" borderId="0" xfId="0" applyFont="1" applyFill="1" applyAlignment="1" applyProtection="1">
      <alignment horizontal="left" vertical="top" indent="1"/>
      <protection locked="0"/>
    </xf>
    <xf numFmtId="0" fontId="7" fillId="3" borderId="0" xfId="0" applyFont="1" applyFill="1" applyAlignment="1" applyProtection="1">
      <alignment horizontal="left" vertical="top" indent="1"/>
      <protection locked="0"/>
    </xf>
    <xf numFmtId="1" fontId="14" fillId="2" borderId="0" xfId="0" applyNumberFormat="1" applyFont="1" applyFill="1" applyAlignment="1">
      <alignment horizontal="left" indent="1"/>
    </xf>
    <xf numFmtId="167" fontId="14" fillId="2" borderId="0" xfId="0" applyNumberFormat="1" applyFont="1" applyFill="1" applyAlignment="1">
      <alignment horizontal="left" indent="1"/>
    </xf>
    <xf numFmtId="166" fontId="14" fillId="2" borderId="0" xfId="0" applyNumberFormat="1" applyFont="1" applyFill="1" applyAlignment="1">
      <alignment horizontal="left" indent="1"/>
    </xf>
    <xf numFmtId="2" fontId="14" fillId="2" borderId="0" xfId="0" applyNumberFormat="1" applyFont="1" applyFill="1" applyAlignment="1">
      <alignment horizontal="left" vertical="center" indent="1"/>
    </xf>
    <xf numFmtId="2" fontId="7" fillId="2" borderId="0" xfId="0" applyNumberFormat="1" applyFont="1" applyFill="1" applyAlignment="1">
      <alignment horizontal="left" vertical="center" indent="1"/>
    </xf>
    <xf numFmtId="0" fontId="6" fillId="2" borderId="4" xfId="14" applyFont="1" applyFill="1" applyBorder="1" applyAlignment="1" applyProtection="1">
      <alignment horizontal="left" vertical="center" indent="2"/>
      <protection locked="0"/>
    </xf>
    <xf numFmtId="49" fontId="40" fillId="2" borderId="0" xfId="9" applyNumberFormat="1" applyFill="1"/>
    <xf numFmtId="1" fontId="40" fillId="2" borderId="0" xfId="9" applyNumberFormat="1" applyFill="1"/>
    <xf numFmtId="0" fontId="40" fillId="2" borderId="0" xfId="9" applyFill="1"/>
    <xf numFmtId="0" fontId="23" fillId="4" borderId="0" xfId="0" applyFont="1" applyFill="1" applyAlignment="1">
      <alignment vertical="center"/>
    </xf>
    <xf numFmtId="0" fontId="24" fillId="4" borderId="0" xfId="0" applyFont="1" applyFill="1" applyAlignment="1">
      <alignment horizontal="left" vertical="center" indent="1"/>
    </xf>
    <xf numFmtId="15" fontId="24" fillId="4" borderId="0" xfId="0" applyNumberFormat="1" applyFont="1" applyFill="1" applyAlignment="1">
      <alignment horizontal="left" vertical="center" indent="1"/>
    </xf>
    <xf numFmtId="0" fontId="25" fillId="4" borderId="0" xfId="0" applyFont="1" applyFill="1" applyAlignment="1">
      <alignment horizontal="left" vertical="center" indent="1"/>
    </xf>
    <xf numFmtId="0" fontId="14" fillId="2" borderId="4" xfId="10" applyFont="1" applyFill="1" applyBorder="1" applyAlignment="1">
      <alignment horizontal="left" indent="2"/>
    </xf>
    <xf numFmtId="0" fontId="5" fillId="2" borderId="0" xfId="0" applyFont="1" applyFill="1" applyAlignment="1">
      <alignment horizontal="left" vertical="center" indent="1"/>
    </xf>
    <xf numFmtId="2" fontId="27" fillId="2" borderId="0" xfId="0" applyNumberFormat="1" applyFont="1" applyFill="1" applyAlignment="1">
      <alignment horizontal="right"/>
    </xf>
    <xf numFmtId="2" fontId="28" fillId="2" borderId="0" xfId="0" applyNumberFormat="1" applyFont="1" applyFill="1" applyAlignment="1">
      <alignment horizontal="right"/>
    </xf>
    <xf numFmtId="0" fontId="7" fillId="3" borderId="4" xfId="0" applyFont="1" applyFill="1" applyBorder="1" applyAlignment="1" applyProtection="1">
      <alignment horizontal="left" vertical="center" indent="3"/>
      <protection locked="0"/>
    </xf>
    <xf numFmtId="0" fontId="7" fillId="3" borderId="6" xfId="0" applyFont="1" applyFill="1" applyBorder="1" applyAlignment="1" applyProtection="1">
      <alignment horizontal="left" vertical="center" indent="2"/>
      <protection locked="0"/>
    </xf>
    <xf numFmtId="0" fontId="6" fillId="3" borderId="0" xfId="0" applyFont="1" applyFill="1" applyAlignment="1" applyProtection="1">
      <alignment horizontal="right" vertical="top"/>
      <protection locked="0"/>
    </xf>
    <xf numFmtId="0" fontId="6" fillId="2" borderId="3" xfId="22" applyFont="1" applyFill="1" applyBorder="1" applyAlignment="1" applyProtection="1">
      <alignment horizontal="left" vertical="center" indent="1"/>
      <protection locked="0"/>
    </xf>
    <xf numFmtId="0" fontId="29" fillId="2" borderId="4" xfId="0" applyFont="1" applyFill="1" applyBorder="1" applyAlignment="1">
      <alignment horizontal="left" vertical="center" indent="1"/>
    </xf>
    <xf numFmtId="0" fontId="30" fillId="2" borderId="4" xfId="0" applyFont="1" applyFill="1" applyBorder="1" applyAlignment="1">
      <alignment horizontal="right"/>
    </xf>
    <xf numFmtId="0" fontId="8" fillId="2" borderId="3" xfId="0" applyFont="1" applyFill="1" applyBorder="1" applyAlignment="1">
      <alignment horizontal="right"/>
    </xf>
    <xf numFmtId="0" fontId="6" fillId="3" borderId="4" xfId="0" applyFont="1" applyFill="1" applyBorder="1" applyAlignment="1" applyProtection="1">
      <alignment horizontal="left" vertical="top" indent="1"/>
      <protection locked="0"/>
    </xf>
    <xf numFmtId="0" fontId="29" fillId="2" borderId="4" xfId="0" applyFont="1" applyFill="1" applyBorder="1" applyAlignment="1">
      <alignment horizontal="left" indent="1"/>
    </xf>
    <xf numFmtId="0" fontId="26" fillId="2" borderId="0" xfId="0" applyFont="1" applyFill="1" applyAlignment="1">
      <alignment horizontal="left" indent="1"/>
    </xf>
    <xf numFmtId="2" fontId="7" fillId="0" borderId="0" xfId="0" applyNumberFormat="1" applyFont="1" applyAlignment="1">
      <alignment horizontal="left" indent="2"/>
    </xf>
    <xf numFmtId="0" fontId="7" fillId="2" borderId="7" xfId="0" applyFont="1" applyFill="1" applyBorder="1" applyAlignment="1" applyProtection="1">
      <alignment vertical="top"/>
      <protection locked="0"/>
    </xf>
    <xf numFmtId="0" fontId="7" fillId="2" borderId="7" xfId="0" applyFont="1" applyFill="1" applyBorder="1" applyAlignment="1" applyProtection="1">
      <alignment horizontal="right" vertical="top"/>
      <protection locked="0"/>
    </xf>
    <xf numFmtId="2" fontId="7" fillId="0" borderId="2" xfId="0" applyNumberFormat="1" applyFont="1" applyBorder="1" applyAlignment="1">
      <alignment horizontal="left" vertical="center" indent="2"/>
    </xf>
    <xf numFmtId="2" fontId="6" fillId="0" borderId="0" xfId="0" applyNumberFormat="1" applyFont="1" applyAlignment="1">
      <alignment horizontal="left" indent="2"/>
    </xf>
    <xf numFmtId="2" fontId="7" fillId="0" borderId="2" xfId="0" applyNumberFormat="1" applyFont="1" applyBorder="1" applyAlignment="1">
      <alignment horizontal="left" indent="2"/>
    </xf>
    <xf numFmtId="2" fontId="7" fillId="0" borderId="7" xfId="0" applyNumberFormat="1" applyFont="1" applyBorder="1" applyAlignment="1">
      <alignment horizontal="left" indent="2"/>
    </xf>
    <xf numFmtId="2" fontId="7" fillId="0" borderId="5" xfId="0" applyNumberFormat="1" applyFont="1" applyBorder="1" applyAlignment="1">
      <alignment horizontal="left" vertical="center" indent="2"/>
    </xf>
    <xf numFmtId="2" fontId="31" fillId="2" borderId="0" xfId="0" applyNumberFormat="1" applyFont="1" applyFill="1" applyAlignment="1">
      <alignment horizontal="right"/>
    </xf>
    <xf numFmtId="2" fontId="12" fillId="2" borderId="0" xfId="0" applyNumberFormat="1" applyFont="1" applyFill="1" applyAlignment="1">
      <alignment horizontal="left" indent="2"/>
    </xf>
    <xf numFmtId="0" fontId="7" fillId="2" borderId="4" xfId="0" applyFont="1" applyFill="1" applyBorder="1" applyAlignment="1" applyProtection="1">
      <alignment horizontal="left" vertical="top" indent="1"/>
      <protection locked="0"/>
    </xf>
    <xf numFmtId="2" fontId="7" fillId="5" borderId="5" xfId="0" applyNumberFormat="1" applyFont="1" applyFill="1" applyBorder="1" applyAlignment="1">
      <alignment horizontal="left" vertical="center" indent="1"/>
    </xf>
    <xf numFmtId="2" fontId="7" fillId="5" borderId="4" xfId="0" applyNumberFormat="1" applyFont="1" applyFill="1" applyBorder="1" applyAlignment="1">
      <alignment horizontal="left" vertical="center" indent="1"/>
    </xf>
    <xf numFmtId="2" fontId="14" fillId="5" borderId="0" xfId="0" applyNumberFormat="1" applyFont="1" applyFill="1" applyAlignment="1">
      <alignment horizontal="left" vertical="center" indent="1"/>
    </xf>
    <xf numFmtId="2" fontId="7" fillId="0" borderId="0" xfId="0" applyNumberFormat="1" applyFont="1" applyAlignment="1">
      <alignment horizontal="left" vertical="center" indent="3"/>
    </xf>
    <xf numFmtId="0" fontId="7" fillId="3" borderId="4" xfId="12" applyFont="1" applyFill="1" applyBorder="1" applyAlignment="1" applyProtection="1">
      <alignment horizontal="left" vertical="center" indent="2"/>
      <protection locked="0"/>
    </xf>
    <xf numFmtId="0" fontId="6" fillId="3" borderId="3" xfId="0" applyFont="1" applyFill="1" applyBorder="1" applyAlignment="1" applyProtection="1">
      <alignment horizontal="left" vertical="top"/>
      <protection locked="0"/>
    </xf>
    <xf numFmtId="2" fontId="6" fillId="5" borderId="4" xfId="0" applyNumberFormat="1" applyFont="1" applyFill="1" applyBorder="1" applyAlignment="1">
      <alignment horizontal="left" vertical="center" indent="1"/>
    </xf>
    <xf numFmtId="0" fontId="0" fillId="2" borderId="0" xfId="0" applyFill="1" applyAlignment="1">
      <alignment horizontal="left"/>
    </xf>
    <xf numFmtId="2" fontId="7" fillId="5" borderId="4" xfId="0" applyNumberFormat="1" applyFont="1" applyFill="1" applyBorder="1" applyAlignment="1">
      <alignment horizontal="left" indent="1"/>
    </xf>
    <xf numFmtId="2" fontId="8" fillId="5" borderId="4" xfId="0" quotePrefix="1" applyNumberFormat="1" applyFont="1" applyFill="1" applyBorder="1" applyAlignment="1">
      <alignment horizontal="left" indent="1"/>
    </xf>
    <xf numFmtId="2" fontId="8" fillId="5" borderId="3" xfId="0" applyNumberFormat="1" applyFont="1" applyFill="1" applyBorder="1" applyAlignment="1">
      <alignment horizontal="left" indent="1"/>
    </xf>
    <xf numFmtId="2" fontId="14" fillId="5" borderId="0" xfId="0" applyNumberFormat="1" applyFont="1" applyFill="1" applyAlignment="1">
      <alignment horizontal="left" indent="1"/>
    </xf>
    <xf numFmtId="2" fontId="8" fillId="5" borderId="4" xfId="0" applyNumberFormat="1" applyFont="1" applyFill="1" applyBorder="1" applyAlignment="1">
      <alignment horizontal="left" indent="1"/>
    </xf>
    <xf numFmtId="2" fontId="30" fillId="5" borderId="3" xfId="0" applyNumberFormat="1" applyFont="1" applyFill="1" applyBorder="1" applyAlignment="1">
      <alignment horizontal="left" indent="1"/>
    </xf>
    <xf numFmtId="165" fontId="7" fillId="5" borderId="4" xfId="0" applyNumberFormat="1" applyFont="1" applyFill="1" applyBorder="1" applyAlignment="1">
      <alignment horizontal="left" vertical="center" indent="1"/>
    </xf>
    <xf numFmtId="2" fontId="6" fillId="5" borderId="0" xfId="0" applyNumberFormat="1" applyFont="1" applyFill="1" applyAlignment="1">
      <alignment horizontal="left" indent="1"/>
    </xf>
    <xf numFmtId="0" fontId="6" fillId="3" borderId="4" xfId="0" applyFont="1" applyFill="1" applyBorder="1" applyAlignment="1" applyProtection="1">
      <alignment horizontal="left" vertical="center" indent="2"/>
      <protection locked="0"/>
    </xf>
    <xf numFmtId="2" fontId="6" fillId="5" borderId="4" xfId="0" applyNumberFormat="1" applyFont="1" applyFill="1" applyBorder="1" applyAlignment="1">
      <alignment horizontal="left" indent="1"/>
    </xf>
    <xf numFmtId="2" fontId="30" fillId="5" borderId="4" xfId="0" quotePrefix="1" applyNumberFormat="1" applyFont="1" applyFill="1" applyBorder="1" applyAlignment="1">
      <alignment horizontal="left" indent="1"/>
    </xf>
    <xf numFmtId="0" fontId="7" fillId="2" borderId="4" xfId="14" applyFont="1" applyFill="1" applyBorder="1" applyAlignment="1" applyProtection="1">
      <alignment horizontal="left" vertical="center" indent="2"/>
      <protection locked="0"/>
    </xf>
    <xf numFmtId="167" fontId="6" fillId="5" borderId="4" xfId="0" applyNumberFormat="1" applyFont="1" applyFill="1" applyBorder="1" applyAlignment="1">
      <alignment horizontal="left" indent="1"/>
    </xf>
    <xf numFmtId="2" fontId="8" fillId="2" borderId="3" xfId="0" applyNumberFormat="1" applyFont="1" applyFill="1" applyBorder="1" applyAlignment="1">
      <alignment horizontal="left" indent="1"/>
    </xf>
    <xf numFmtId="2" fontId="7" fillId="5" borderId="3" xfId="0" applyNumberFormat="1" applyFont="1" applyFill="1" applyBorder="1" applyAlignment="1">
      <alignment horizontal="left" indent="1"/>
    </xf>
    <xf numFmtId="0" fontId="12" fillId="6" borderId="0" xfId="9" applyFont="1" applyFill="1"/>
    <xf numFmtId="0" fontId="12" fillId="6" borderId="8" xfId="9" applyFont="1" applyFill="1" applyBorder="1"/>
    <xf numFmtId="1" fontId="12" fillId="6" borderId="5" xfId="9" applyNumberFormat="1" applyFont="1" applyFill="1" applyBorder="1"/>
    <xf numFmtId="0" fontId="12" fillId="6" borderId="9" xfId="9" applyFont="1" applyFill="1" applyBorder="1"/>
    <xf numFmtId="1" fontId="12" fillId="6" borderId="0" xfId="9" applyNumberFormat="1" applyFont="1" applyFill="1"/>
    <xf numFmtId="2" fontId="12" fillId="6" borderId="0" xfId="9" applyNumberFormat="1" applyFont="1" applyFill="1" applyAlignment="1">
      <alignment wrapText="1"/>
    </xf>
    <xf numFmtId="0" fontId="12" fillId="7" borderId="0" xfId="9" applyFont="1" applyFill="1"/>
    <xf numFmtId="0" fontId="12" fillId="7" borderId="8" xfId="9" applyFont="1" applyFill="1" applyBorder="1"/>
    <xf numFmtId="1" fontId="12" fillId="7" borderId="5" xfId="9" applyNumberFormat="1" applyFont="1" applyFill="1" applyBorder="1"/>
    <xf numFmtId="0" fontId="12" fillId="7" borderId="5" xfId="9" applyFont="1" applyFill="1" applyBorder="1"/>
    <xf numFmtId="0" fontId="12" fillId="7" borderId="9" xfId="9" applyFont="1" applyFill="1" applyBorder="1"/>
    <xf numFmtId="1" fontId="12" fillId="7" borderId="0" xfId="9" applyNumberFormat="1" applyFont="1" applyFill="1"/>
    <xf numFmtId="164" fontId="12" fillId="6" borderId="5" xfId="9" applyNumberFormat="1" applyFont="1" applyFill="1" applyBorder="1"/>
    <xf numFmtId="164" fontId="12" fillId="6" borderId="0" xfId="9" applyNumberFormat="1" applyFont="1" applyFill="1"/>
    <xf numFmtId="0" fontId="12" fillId="6" borderId="5" xfId="9" applyFont="1" applyFill="1" applyBorder="1"/>
    <xf numFmtId="0" fontId="6" fillId="2" borderId="3" xfId="0" applyFont="1" applyFill="1" applyBorder="1" applyAlignment="1" applyProtection="1">
      <alignment horizontal="left" vertical="top" indent="1"/>
      <protection locked="0"/>
    </xf>
    <xf numFmtId="2" fontId="8" fillId="5" borderId="3" xfId="0" applyNumberFormat="1" applyFont="1" applyFill="1" applyBorder="1" applyAlignment="1">
      <alignment horizontal="left" vertical="center" indent="1"/>
    </xf>
    <xf numFmtId="0" fontId="8" fillId="5" borderId="3" xfId="0" applyFont="1" applyFill="1" applyBorder="1" applyAlignment="1">
      <alignment horizontal="left" vertical="center" indent="1"/>
    </xf>
    <xf numFmtId="2" fontId="16" fillId="0" borderId="0" xfId="0" applyNumberFormat="1" applyFont="1" applyAlignment="1">
      <alignment horizontal="left" indent="2"/>
    </xf>
    <xf numFmtId="0" fontId="34" fillId="4" borderId="0" xfId="0" applyFont="1" applyFill="1" applyAlignment="1">
      <alignment horizontal="left" indent="1"/>
    </xf>
    <xf numFmtId="0" fontId="34" fillId="4" borderId="0" xfId="0" applyFont="1" applyFill="1"/>
    <xf numFmtId="0" fontId="35" fillId="2" borderId="0" xfId="0" applyFont="1" applyFill="1" applyAlignment="1">
      <alignment horizontal="right"/>
    </xf>
    <xf numFmtId="0" fontId="35" fillId="2" borderId="0" xfId="0" applyFont="1" applyFill="1" applyAlignment="1">
      <alignment horizontal="left" indent="1"/>
    </xf>
    <xf numFmtId="0" fontId="36" fillId="2" borderId="0" xfId="0" applyFont="1" applyFill="1" applyAlignment="1">
      <alignment horizontal="right"/>
    </xf>
    <xf numFmtId="0" fontId="36" fillId="2" borderId="0" xfId="0" applyFont="1" applyFill="1" applyAlignment="1">
      <alignment horizontal="left" indent="1"/>
    </xf>
    <xf numFmtId="0" fontId="19" fillId="2" borderId="0" xfId="0" applyFont="1" applyFill="1" applyAlignment="1">
      <alignment horizontal="left" indent="1"/>
    </xf>
    <xf numFmtId="0" fontId="37" fillId="2" borderId="0" xfId="0" applyFont="1" applyFill="1" applyAlignment="1">
      <alignment horizontal="left" indent="1"/>
    </xf>
    <xf numFmtId="0" fontId="12" fillId="2" borderId="0" xfId="0" applyFont="1" applyFill="1" applyAlignment="1">
      <alignment horizontal="left" indent="1"/>
    </xf>
    <xf numFmtId="0" fontId="12" fillId="2" borderId="0" xfId="0" applyFont="1" applyFill="1" applyAlignment="1">
      <alignment horizontal="left"/>
    </xf>
    <xf numFmtId="0" fontId="12" fillId="2" borderId="0" xfId="0" applyFont="1" applyFill="1" applyAlignment="1">
      <alignment horizontal="right" indent="1"/>
    </xf>
    <xf numFmtId="0" fontId="7" fillId="3" borderId="4" xfId="0" applyFont="1" applyFill="1" applyBorder="1" applyAlignment="1" applyProtection="1">
      <alignment horizontal="left" vertical="center"/>
      <protection locked="0"/>
    </xf>
    <xf numFmtId="0" fontId="6" fillId="3" borderId="4" xfId="0" applyFont="1" applyFill="1" applyBorder="1" applyAlignment="1" applyProtection="1">
      <alignment horizontal="left" vertical="center"/>
      <protection locked="0"/>
    </xf>
    <xf numFmtId="0" fontId="38" fillId="8" borderId="0" xfId="0" applyFont="1" applyFill="1" applyAlignment="1">
      <alignment horizontal="left" indent="1"/>
    </xf>
    <xf numFmtId="0" fontId="39" fillId="2" borderId="0" xfId="0" applyFont="1" applyFill="1"/>
    <xf numFmtId="0" fontId="39" fillId="2" borderId="0" xfId="0" applyFont="1" applyFill="1" applyAlignment="1">
      <alignment horizontal="right" indent="1"/>
    </xf>
    <xf numFmtId="0" fontId="20" fillId="2" borderId="0" xfId="0" applyFont="1" applyFill="1" applyAlignment="1">
      <alignment horizontal="right" indent="1"/>
    </xf>
    <xf numFmtId="0" fontId="20" fillId="2" borderId="0" xfId="0" applyFont="1" applyFill="1" applyAlignment="1">
      <alignment horizontal="left" indent="1"/>
    </xf>
    <xf numFmtId="0" fontId="20" fillId="2" borderId="0" xfId="0" quotePrefix="1" applyFont="1" applyFill="1" applyAlignment="1">
      <alignment horizontal="left" indent="1"/>
    </xf>
  </cellXfs>
  <cellStyles count="25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Followed Hyperlink" xfId="8" hidden="1" xr:uid="{00000000-0005-0000-0000-000004000000}"/>
    <cellStyle name="Hyperlink" xfId="7" hidden="1" xr:uid="{00000000-0005-0000-0000-000005000000}"/>
    <cellStyle name="Normal" xfId="0" builtinId="0"/>
    <cellStyle name="Normal 10" xfId="16" xr:uid="{00000000-0005-0000-0000-000007000000}"/>
    <cellStyle name="Normal 11" xfId="17" xr:uid="{00000000-0005-0000-0000-000008000000}"/>
    <cellStyle name="Normal 12" xfId="18" xr:uid="{00000000-0005-0000-0000-000009000000}"/>
    <cellStyle name="Normal 13" xfId="19" xr:uid="{00000000-0005-0000-0000-00000A000000}"/>
    <cellStyle name="Normal 14" xfId="20" xr:uid="{00000000-0005-0000-0000-00000B000000}"/>
    <cellStyle name="Normal 15" xfId="21" xr:uid="{00000000-0005-0000-0000-00000C000000}"/>
    <cellStyle name="Normal 16" xfId="22" xr:uid="{00000000-0005-0000-0000-00000D000000}"/>
    <cellStyle name="Normal 17" xfId="23" xr:uid="{00000000-0005-0000-0000-00000E000000}"/>
    <cellStyle name="Normal 18" xfId="24" xr:uid="{00000000-0005-0000-0000-00000F000000}"/>
    <cellStyle name="Normal 2" xfId="6" xr:uid="{00000000-0005-0000-0000-000010000000}"/>
    <cellStyle name="Normal 3" xfId="9" xr:uid="{00000000-0005-0000-0000-000011000000}"/>
    <cellStyle name="Normal 4" xfId="10" xr:uid="{00000000-0005-0000-0000-000012000000}"/>
    <cellStyle name="Normal 5" xfId="11" xr:uid="{00000000-0005-0000-0000-000013000000}"/>
    <cellStyle name="Normal 6" xfId="12" xr:uid="{00000000-0005-0000-0000-000014000000}"/>
    <cellStyle name="Normal 7" xfId="13" xr:uid="{00000000-0005-0000-0000-000015000000}"/>
    <cellStyle name="Normal 8" xfId="14" xr:uid="{00000000-0005-0000-0000-000016000000}"/>
    <cellStyle name="Normal 9" xfId="15" xr:uid="{00000000-0005-0000-0000-000017000000}"/>
    <cellStyle name="Percent" xfId="1" xr:uid="{00000000-0005-0000-0000-000018000000}"/>
  </cellStyles>
  <dxfs count="9">
    <dxf>
      <font>
        <b/>
        <i val="0"/>
        <color rgb="FF7030A0"/>
      </font>
    </dxf>
    <dxf>
      <fill>
        <patternFill>
          <bgColor rgb="FFDCA0C8"/>
        </patternFill>
      </fill>
    </dxf>
    <dxf>
      <font>
        <color theme="1"/>
      </font>
      <fill>
        <patternFill>
          <bgColor rgb="FFDCA0C8"/>
        </patternFill>
      </fill>
    </dxf>
    <dxf>
      <fill>
        <patternFill>
          <bgColor rgb="FFDCA0C8"/>
        </patternFill>
      </fill>
    </dxf>
    <dxf>
      <fill>
        <patternFill>
          <bgColor rgb="FFDCA0C8"/>
        </patternFill>
      </fill>
    </dxf>
    <dxf>
      <fill>
        <patternFill>
          <bgColor rgb="FFDCA0C8"/>
        </patternFill>
      </fill>
    </dxf>
    <dxf>
      <font>
        <b/>
        <i val="0"/>
        <color rgb="FF7030A0"/>
      </font>
    </dxf>
    <dxf>
      <font>
        <b/>
        <i val="0"/>
        <color rgb="FFFF0000"/>
      </font>
    </dxf>
    <dxf>
      <fill>
        <patternFill>
          <bgColor rgb="FFDCA0C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302260</xdr:colOff>
      <xdr:row>14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81725" cy="2286000"/>
        </a:xfrm>
        <a:prstGeom prst="rect">
          <a:avLst/>
        </a:prstGeom>
      </xdr:spPr>
    </xdr:pic>
    <xdr:clientData/>
  </xdr:twoCellAnchor>
  <xdr:twoCellAnchor editAs="absolute">
    <xdr:from>
      <xdr:col>0</xdr:col>
      <xdr:colOff>66675</xdr:colOff>
      <xdr:row>14</xdr:row>
      <xdr:rowOff>35560</xdr:rowOff>
    </xdr:from>
    <xdr:to>
      <xdr:col>5</xdr:col>
      <xdr:colOff>1400175</xdr:colOff>
      <xdr:row>16</xdr:row>
      <xdr:rowOff>127635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6675" y="2324100"/>
          <a:ext cx="11591925" cy="476250"/>
        </a:xfrm>
        <a:prstGeom prst="rect">
          <a:avLst/>
        </a:prstGeom>
      </xdr:spPr>
      <xdr:txBody>
        <a:bodyPr vertOverflow="clip" horzOverflow="clip" wrap="square" lIns="91440" tIns="18000" rIns="91440" bIns="18000" anchor="t">
          <a:noAutofit/>
        </a:bodyPr>
        <a:lstStyle/>
        <a:p>
          <a:pPr marL="0" indent="0">
            <a:lnSpc>
              <a:spcPct val="110000"/>
            </a:lnSpc>
            <a:spcAft>
              <a:spcPts val="800"/>
            </a:spcAft>
            <a:buFontTx/>
            <a:buNone/>
          </a:pPr>
          <a:r>
            <a:rPr lang="en-US" sz="1200" b="1" dirty="0">
              <a:latin typeface="Arial" pitchFamily="34" charset="0"/>
              <a:cs typeface="Arial" pitchFamily="34" charset="0"/>
            </a:rPr>
            <a:t>The information provided herein is for informational purposes only and does not represent a performance obligation or liability on SES or any of its affiliates. © 2025 SES, All rights reserved. </a:t>
          </a:r>
        </a:p>
      </xdr:txBody>
    </xdr:sp>
    <xdr:clientData/>
  </xdr:twoCellAnchor>
  <xdr:twoCellAnchor editAs="oneCell">
    <xdr:from>
      <xdr:col>0</xdr:col>
      <xdr:colOff>353060</xdr:colOff>
      <xdr:row>240</xdr:row>
      <xdr:rowOff>130175</xdr:rowOff>
    </xdr:from>
    <xdr:to>
      <xdr:col>6</xdr:col>
      <xdr:colOff>51435</xdr:colOff>
      <xdr:row>243</xdr:row>
      <xdr:rowOff>107314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52425" y="30851475"/>
          <a:ext cx="11544300" cy="466725"/>
        </a:xfrm>
        <a:prstGeom prst="rect">
          <a:avLst/>
        </a:prstGeom>
      </xdr:spPr>
      <xdr:txBody>
        <a:bodyPr vertOverflow="clip" horzOverflow="clip" wrap="square" lIns="36000" tIns="18000" rIns="36000" bIns="18000" anchor="t">
          <a:noAutofit/>
        </a:bodyPr>
        <a:lstStyle/>
        <a:p>
          <a:pPr marL="0" indent="0">
            <a:lnSpc>
              <a:spcPct val="110000"/>
            </a:lnSpc>
            <a:spcAft>
              <a:spcPts val="800"/>
            </a:spcAft>
            <a:buFontTx/>
            <a:buNone/>
          </a:pPr>
          <a:endParaRPr lang="en-US" sz="1200" b="1" dirty="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57150</xdr:colOff>
      <xdr:row>36</xdr:row>
      <xdr:rowOff>161925</xdr:rowOff>
    </xdr:from>
    <xdr:ext cx="12020550" cy="6096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267325" y="6000750"/>
          <a:ext cx="12020550" cy="609600"/>
        </a:xfrm>
        <a:prstGeom prst="rect">
          <a:avLst/>
        </a:prstGeom>
      </xdr:spPr>
      <xdr:txBody>
        <a:bodyPr vertOverflow="clip" horzOverflow="clip" wrap="square" lIns="36000" tIns="18000" rIns="36000" bIns="18000" anchor="t">
          <a:spAutoFit/>
        </a:bodyPr>
        <a:lstStyle/>
        <a:p>
          <a:pPr marL="252000" indent="-252000">
            <a:lnSpc>
              <a:spcPct val="110000"/>
            </a:lnSpc>
            <a:spcAft>
              <a:spcPts val="800"/>
            </a:spcAft>
            <a:buFont typeface="Wingdings 3" pitchFamily="18" charset="2"/>
            <a:buChar char=""/>
          </a:pPr>
          <a:r>
            <a:rPr lang="en-GB" sz="900" dirty="0">
              <a:latin typeface="Arial" pitchFamily="34" charset="0"/>
              <a:cs typeface="Arial" pitchFamily="34" charset="0"/>
            </a:rPr>
            <a:t>=IFERROR(INDEX(OFFSET('HPA-data'!$I$1,CHOOSE(MATCH(D172,{"C","X","Ku","Ka","Q"},0),1,10,19,28,37)+MATCH(IF(ISBLANK(D174),"SSPA",D174),{"SSPA","SSPB","BUC","TWTA","Linearized TWTA","Linearised TWTA","Klystron"},0)-1,0,1,35),MATCH(TRUNC(D185,6),OFFSET('HPA-data'!$I$1,CHOOSE(MATCH(D172,{"C","X","Ku","Ka","Q"},0),1,10,19,28,37)+MATCH(IF(ISBLANK(D174),"SSPA",D174),{"SSPA","SSPB","BUC","TWTA","Linearized TWTA","Linearised TWTA","Klystron"},0)-1,0,1,35),-1)),"Not Computed")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LBT/Procurement/Report%20Templates/Development/2A/2017/RISE-LBReports/Working%20tempaltes/CAR%20oriented/Interim%20SLBT%20report%20v5_CAR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TU_Limit_Lookup"/>
      <sheetName val="HPA-data"/>
      <sheetName val="TR&gt;&gt;CXRBS|CXR|NAME"/>
      <sheetName val="Chart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SES2017">
  <a:themeElements>
    <a:clrScheme name="Custom 6">
      <a:dk1>
        <a:srgbClr val="000000"/>
      </a:dk1>
      <a:lt1>
        <a:srgbClr val="FFFFFF"/>
      </a:lt1>
      <a:dk2>
        <a:srgbClr val="000000"/>
      </a:dk2>
      <a:lt2>
        <a:srgbClr val="001446"/>
      </a:lt2>
      <a:accent1>
        <a:srgbClr val="2490D8"/>
      </a:accent1>
      <a:accent2>
        <a:srgbClr val="004691"/>
      </a:accent2>
      <a:accent3>
        <a:srgbClr val="B40082"/>
      </a:accent3>
      <a:accent4>
        <a:srgbClr val="6E2D87"/>
      </a:accent4>
      <a:accent5>
        <a:srgbClr val="AFB9C3"/>
      </a:accent5>
      <a:accent6>
        <a:srgbClr val="505A64"/>
      </a:accent6>
      <a:hlink>
        <a:srgbClr val="2490D7"/>
      </a:hlink>
      <a:folHlink>
        <a:srgbClr val="2490D7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25400">
          <a:solidFill>
            <a:schemeClr val="accent3"/>
          </a:solidFill>
        </a:ln>
      </a:spPr>
      <a:bodyPr rot="0" spcFirstLastPara="0" vertOverflow="overflow" horzOverflow="overflow" vert="horz" wrap="square" lIns="108000" tIns="140400" rIns="108000" bIns="140400" numCol="1" spcCol="0" rtlCol="0" fromWordArt="0" anchor="ctr" anchorCtr="0" forceAA="0" compatLnSpc="1">
        <a:prstTxWarp prst="textNoShape">
          <a:avLst/>
        </a:prstTxWarp>
        <a:noAutofit/>
      </a:bodyPr>
      <a:lstStyle>
        <a:defPPr algn="ctr">
          <a:defRPr sz="1600" b="1" dirty="0" err="1" smtClean="0">
            <a:ln w="18000">
              <a:noFill/>
              <a:prstDash val="solid"/>
              <a:miter lim="800000"/>
            </a:ln>
            <a:effectLst/>
          </a:defRPr>
        </a:defPPr>
      </a:lstStyle>
    </a:spDef>
    <a:lnDef>
      <a:spPr>
        <a:ln w="12700" cmpd="sng">
          <a:solidFill>
            <a:schemeClr val="tx1"/>
          </a:solidFill>
        </a:ln>
        <a:effectLst/>
      </a:spPr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  <a:txDef>
      <a:spPr/>
      <a:bodyPr wrap="square" lIns="36000" tIns="18000" rIns="36000" bIns="18000" rtlCol="0">
        <a:spAutoFit/>
      </a:bodyPr>
      <a:lstStyle>
        <a:defPPr marL="252000" indent="-252000">
          <a:lnSpc>
            <a:spcPct val="110000"/>
          </a:lnSpc>
          <a:spcAft>
            <a:spcPts val="800"/>
          </a:spcAft>
          <a:buFont typeface="Wingdings 3" pitchFamily="18" charset="2"/>
          <a:buChar char=""/>
          <a:defRPr sz="1600" dirty="0">
            <a:latin typeface="Arial" pitchFamily="34" charset="0"/>
            <a:cs typeface="Arial" pitchFamily="34" charset="0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SES2017" id="{5108F314-9D25-2F4C-B3DB-C69366B31456}" vid="{8B255405-BD0A-D945-9C40-65A93C990BE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J247"/>
  <sheetViews>
    <sheetView showGridLines="0" tabSelected="1" zoomScale="75" zoomScaleNormal="75" workbookViewId="0">
      <selection activeCell="B243" sqref="B243"/>
    </sheetView>
  </sheetViews>
  <sheetFormatPr defaultColWidth="9" defaultRowHeight="13.2" outlineLevelRow="1" x14ac:dyDescent="0.25"/>
  <cols>
    <col min="1" max="1" width="8.5546875" style="5" customWidth="1"/>
    <col min="2" max="2" width="79.5546875" style="5" customWidth="1"/>
    <col min="3" max="3" width="15.6640625" style="22" customWidth="1"/>
    <col min="4" max="4" width="26.109375" style="22" customWidth="1"/>
    <col min="5" max="130" width="23.88671875" style="5" customWidth="1"/>
    <col min="131" max="16384" width="9" style="5"/>
  </cols>
  <sheetData>
    <row r="1" spans="1:7" s="14" customFormat="1" ht="13.2" customHeight="1" x14ac:dyDescent="0.25">
      <c r="A1" s="165" t="s">
        <v>62</v>
      </c>
      <c r="B1" s="165">
        <v>6345</v>
      </c>
      <c r="E1" s="40"/>
      <c r="G1" s="15"/>
    </row>
    <row r="2" spans="1:7" s="14" customFormat="1" ht="13.2" customHeight="1" x14ac:dyDescent="0.25">
      <c r="A2" s="165">
        <v>2</v>
      </c>
      <c r="B2" s="165" t="s">
        <v>58</v>
      </c>
      <c r="C2" s="165"/>
      <c r="E2" s="40"/>
      <c r="F2" s="15"/>
      <c r="G2" s="15"/>
    </row>
    <row r="3" spans="1:7" s="14" customFormat="1" ht="13.2" customHeight="1" x14ac:dyDescent="0.25">
      <c r="A3" s="165"/>
      <c r="B3" s="165" t="s">
        <v>146</v>
      </c>
      <c r="C3" s="165"/>
      <c r="D3" s="94" t="s">
        <v>15</v>
      </c>
      <c r="E3" s="40"/>
      <c r="F3" s="15"/>
      <c r="G3" s="15"/>
    </row>
    <row r="4" spans="1:7" s="14" customFormat="1" ht="13.2" customHeight="1" x14ac:dyDescent="0.25">
      <c r="A4" s="165"/>
      <c r="B4" s="165">
        <v>-3.79</v>
      </c>
      <c r="C4" s="165"/>
      <c r="D4" s="95" t="s">
        <v>66</v>
      </c>
      <c r="E4" s="40"/>
      <c r="F4" s="15"/>
      <c r="G4" s="15"/>
    </row>
    <row r="5" spans="1:7" s="14" customFormat="1" ht="13.2" customHeight="1" x14ac:dyDescent="0.25">
      <c r="A5" s="165"/>
      <c r="B5" s="165" t="s">
        <v>57</v>
      </c>
      <c r="C5" s="165"/>
      <c r="D5" s="94" t="s">
        <v>17</v>
      </c>
      <c r="E5" s="40"/>
      <c r="F5" s="15"/>
      <c r="G5" s="15"/>
    </row>
    <row r="6" spans="1:7" s="14" customFormat="1" ht="13.2" customHeight="1" x14ac:dyDescent="0.25">
      <c r="A6" s="165"/>
      <c r="B6" s="165" t="s">
        <v>117</v>
      </c>
      <c r="C6" s="165"/>
      <c r="D6" s="96">
        <v>45832.844378955713</v>
      </c>
      <c r="E6" s="40"/>
      <c r="F6" s="15"/>
      <c r="G6" s="15"/>
    </row>
    <row r="7" spans="1:7" s="14" customFormat="1" ht="13.2" customHeight="1" x14ac:dyDescent="0.25">
      <c r="A7" s="165"/>
      <c r="B7" s="165"/>
      <c r="C7" s="165"/>
      <c r="D7" s="94" t="s">
        <v>23</v>
      </c>
      <c r="E7" s="40"/>
      <c r="F7" s="15"/>
      <c r="G7" s="15"/>
    </row>
    <row r="8" spans="1:7" s="14" customFormat="1" ht="13.2" customHeight="1" x14ac:dyDescent="0.25">
      <c r="A8" s="165"/>
      <c r="B8" s="165">
        <v>-90.85</v>
      </c>
      <c r="C8" s="165"/>
      <c r="D8" s="97" t="s">
        <v>6</v>
      </c>
      <c r="E8" s="40"/>
      <c r="F8" s="15"/>
      <c r="G8" s="15"/>
    </row>
    <row r="9" spans="1:7" s="14" customFormat="1" ht="13.2" customHeight="1" x14ac:dyDescent="0.25">
      <c r="A9" s="165"/>
      <c r="B9" s="165"/>
      <c r="C9" s="165"/>
      <c r="D9" s="94" t="s">
        <v>16</v>
      </c>
      <c r="E9" s="40"/>
      <c r="F9" s="15"/>
      <c r="G9" s="15"/>
    </row>
    <row r="10" spans="1:7" s="14" customFormat="1" ht="13.2" customHeight="1" x14ac:dyDescent="0.25">
      <c r="A10" s="165"/>
      <c r="B10" s="165">
        <v>4120</v>
      </c>
      <c r="C10" s="165"/>
      <c r="D10" s="95" t="s">
        <v>237</v>
      </c>
      <c r="E10" s="40"/>
      <c r="F10" s="15"/>
      <c r="G10" s="15"/>
    </row>
    <row r="11" spans="1:7" s="14" customFormat="1" ht="13.2" customHeight="1" x14ac:dyDescent="0.25">
      <c r="A11" s="165"/>
      <c r="B11" s="165" t="s">
        <v>59</v>
      </c>
      <c r="C11" s="165"/>
      <c r="D11" s="94" t="s">
        <v>22</v>
      </c>
      <c r="E11" s="40"/>
      <c r="F11" s="15"/>
      <c r="G11" s="15"/>
    </row>
    <row r="12" spans="1:7" s="14" customFormat="1" ht="13.2" customHeight="1" x14ac:dyDescent="0.25">
      <c r="A12" s="165"/>
      <c r="B12" s="165" t="s">
        <v>147</v>
      </c>
      <c r="C12" s="165"/>
      <c r="D12" s="95" t="s">
        <v>54</v>
      </c>
      <c r="E12" s="40"/>
      <c r="F12" s="15"/>
      <c r="G12" s="15"/>
    </row>
    <row r="13" spans="1:7" s="14" customFormat="1" ht="13.5" customHeight="1" x14ac:dyDescent="0.25">
      <c r="B13" s="178">
        <v>-3.9998000884056113</v>
      </c>
      <c r="D13" s="45"/>
      <c r="E13" s="40"/>
      <c r="F13" s="15"/>
      <c r="G13" s="15"/>
    </row>
    <row r="14" spans="1:7" s="14" customFormat="1" ht="13.5" customHeight="1" x14ac:dyDescent="0.25">
      <c r="A14" s="166"/>
      <c r="B14" s="165"/>
      <c r="F14" s="15"/>
      <c r="G14" s="15"/>
    </row>
    <row r="15" spans="1:7" customFormat="1" ht="15" customHeight="1" x14ac:dyDescent="0.25">
      <c r="C15" s="21"/>
      <c r="D15" s="21"/>
    </row>
    <row r="16" spans="1:7" customFormat="1" ht="15" customHeight="1" x14ac:dyDescent="0.25">
      <c r="C16" s="21"/>
      <c r="D16" s="21"/>
    </row>
    <row r="17" spans="2:36" customFormat="1" ht="15" customHeight="1" x14ac:dyDescent="0.25">
      <c r="C17" s="21"/>
      <c r="D17" s="21"/>
    </row>
    <row r="18" spans="2:36" ht="13.8" x14ac:dyDescent="0.25">
      <c r="B18" s="59" t="s">
        <v>40</v>
      </c>
      <c r="C18" s="60"/>
      <c r="D18" s="64" t="s">
        <v>55</v>
      </c>
      <c r="E18" s="27"/>
      <c r="F18" s="28"/>
    </row>
    <row r="19" spans="2:36" ht="13.8" x14ac:dyDescent="0.25">
      <c r="B19" s="61" t="s">
        <v>41</v>
      </c>
      <c r="C19" s="58" t="s">
        <v>18</v>
      </c>
      <c r="D19" s="30">
        <v>-87</v>
      </c>
      <c r="E19" s="27"/>
      <c r="F19" s="27"/>
    </row>
    <row r="20" spans="2:36" ht="14.4" thickBot="1" x14ac:dyDescent="0.3">
      <c r="B20" s="17"/>
      <c r="C20" s="37"/>
      <c r="D20" s="65"/>
      <c r="E20" s="27"/>
      <c r="F20" s="27"/>
    </row>
    <row r="21" spans="2:36" customFormat="1" ht="13.8" x14ac:dyDescent="0.25">
      <c r="B21" s="16" t="s">
        <v>0</v>
      </c>
      <c r="C21" s="38"/>
      <c r="D21" s="66"/>
      <c r="E21" s="27"/>
      <c r="F21" s="27"/>
    </row>
    <row r="22" spans="2:36" customFormat="1" ht="13.8" x14ac:dyDescent="0.25">
      <c r="B22" s="16" t="s">
        <v>42</v>
      </c>
      <c r="C22" s="38"/>
      <c r="D22" s="66" t="s">
        <v>56</v>
      </c>
      <c r="E22" s="27"/>
      <c r="F22" s="27"/>
    </row>
    <row r="23" spans="2:36" ht="13.8" x14ac:dyDescent="0.25">
      <c r="B23" s="35" t="s">
        <v>78</v>
      </c>
      <c r="C23" s="58" t="s">
        <v>1</v>
      </c>
      <c r="D23" s="35" t="str">
        <f>CONCATENATE(B1," ",B2," / ",B10," ",B11)</f>
        <v>6345 VLP / 4120 HLP</v>
      </c>
      <c r="E23" s="27"/>
      <c r="F23" s="27"/>
    </row>
    <row r="24" spans="2:36" ht="13.8" x14ac:dyDescent="0.25">
      <c r="B24" s="35" t="s">
        <v>43</v>
      </c>
      <c r="C24" s="58" t="s">
        <v>1</v>
      </c>
      <c r="D24" s="30">
        <v>36</v>
      </c>
      <c r="E24" s="27"/>
      <c r="F24" s="27"/>
    </row>
    <row r="25" spans="2:36" ht="13.8" x14ac:dyDescent="0.25">
      <c r="B25" s="35" t="s">
        <v>71</v>
      </c>
      <c r="C25" s="58" t="s">
        <v>2</v>
      </c>
      <c r="D25" s="30">
        <v>43.64</v>
      </c>
      <c r="E25" s="27"/>
      <c r="F25" s="27"/>
    </row>
    <row r="26" spans="2:36" ht="13.8" x14ac:dyDescent="0.25">
      <c r="B26" s="35" t="s">
        <v>44</v>
      </c>
      <c r="C26" s="58" t="s">
        <v>4</v>
      </c>
      <c r="D26" s="30">
        <v>3.4689999999999999</v>
      </c>
      <c r="E26" s="27"/>
      <c r="F26" s="27"/>
    </row>
    <row r="27" spans="2:36" ht="13.8" x14ac:dyDescent="0.25">
      <c r="B27" s="35" t="str">
        <f>IFERROR(IF(ALC_ON="Yes","ALC Reference FTS at Beam-Peak","Saturation flux density, Beam-peak"),"Saturation flux density, Beam-peak")</f>
        <v>Saturation flux density, Beam-peak</v>
      </c>
      <c r="C27" s="58" t="s">
        <v>3</v>
      </c>
      <c r="D27" s="30">
        <f>IFERROR(IF(ALC_ON="Yes",$B$9,$B$8),$B$8)</f>
        <v>-90.85</v>
      </c>
      <c r="E27" s="27"/>
      <c r="F27" s="27"/>
    </row>
    <row r="28" spans="2:36" ht="13.8" x14ac:dyDescent="0.25">
      <c r="B28" s="35" t="s">
        <v>45</v>
      </c>
      <c r="C28" s="58"/>
      <c r="D28" s="30" t="str">
        <f>IFERROR(CONCATENATE(IF($B$5="","Not defined",$B$5),", [IBO: ",ROUND($B$4,1)," dB | OBO: ",ROUND($B$13,1)," dB]"),"Not defined")</f>
        <v>Multiple Carrier, [IBO: -3.8 dB | OBO: -4 dB]</v>
      </c>
      <c r="E28" s="27"/>
      <c r="F28" s="27"/>
    </row>
    <row r="29" spans="2:36" ht="13.8" x14ac:dyDescent="0.25">
      <c r="B29" s="35" t="s">
        <v>14</v>
      </c>
      <c r="C29" s="57">
        <v>0</v>
      </c>
      <c r="D29" s="67" t="str">
        <f>IF(C29&gt;0.25,"Yes","No")</f>
        <v>No</v>
      </c>
      <c r="E29" s="27"/>
      <c r="F29" s="27"/>
    </row>
    <row r="30" spans="2:36" ht="14.4" thickBot="1" x14ac:dyDescent="0.3">
      <c r="B30" s="18" t="s">
        <v>6</v>
      </c>
      <c r="C30" s="37"/>
      <c r="D30" s="46"/>
      <c r="E30" s="27"/>
      <c r="F30" s="27"/>
    </row>
    <row r="31" spans="2:36" x14ac:dyDescent="0.25">
      <c r="C31" s="39"/>
      <c r="D31" s="121"/>
      <c r="E31" s="27"/>
      <c r="F31" s="27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</row>
    <row r="32" spans="2:36" x14ac:dyDescent="0.25">
      <c r="C32" s="5"/>
      <c r="D32" s="130"/>
      <c r="E32" s="130"/>
      <c r="F32" s="27"/>
      <c r="G32" s="27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</row>
    <row r="33" spans="2:36" ht="13.8" x14ac:dyDescent="0.25">
      <c r="B33" s="128" t="s">
        <v>123</v>
      </c>
      <c r="C33" s="108"/>
      <c r="D33" s="136" t="s">
        <v>60</v>
      </c>
      <c r="E33" s="136"/>
      <c r="F33" s="82"/>
      <c r="G33" s="82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</row>
    <row r="34" spans="2:36" ht="13.8" x14ac:dyDescent="0.25">
      <c r="B34" s="23" t="s">
        <v>127</v>
      </c>
      <c r="C34" s="108" t="s">
        <v>1</v>
      </c>
      <c r="D34" s="136">
        <v>2.9812032307316345E-2</v>
      </c>
      <c r="E34" s="136"/>
      <c r="F34" s="82"/>
      <c r="G34" s="82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</row>
    <row r="35" spans="2:36" ht="13.8" x14ac:dyDescent="0.25">
      <c r="B35" s="26" t="s">
        <v>77</v>
      </c>
      <c r="C35" s="69" t="s">
        <v>5</v>
      </c>
      <c r="D35" s="133">
        <v>7.4278780075481965</v>
      </c>
      <c r="E35" s="133"/>
      <c r="F35" s="80"/>
      <c r="G35" s="80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</row>
    <row r="36" spans="2:36" ht="13.8" x14ac:dyDescent="0.25">
      <c r="B36" s="25" t="s">
        <v>63</v>
      </c>
      <c r="C36" s="69" t="s">
        <v>5</v>
      </c>
      <c r="D36" s="133">
        <v>5.6669654169913848</v>
      </c>
      <c r="E36" s="133"/>
      <c r="F36" s="80"/>
      <c r="G36" s="80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</row>
    <row r="37" spans="2:36" ht="13.8" x14ac:dyDescent="0.25">
      <c r="B37" s="25" t="s">
        <v>112</v>
      </c>
      <c r="C37" s="69" t="s">
        <v>5</v>
      </c>
      <c r="D37" s="133">
        <v>5.4</v>
      </c>
      <c r="E37" s="133"/>
      <c r="F37" s="81"/>
      <c r="G37" s="80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</row>
    <row r="38" spans="2:36" ht="13.8" x14ac:dyDescent="0.25">
      <c r="B38" s="26" t="str">
        <f>"Link closes? ["&amp;COUNTIF($D$38:$AAA$38,"=Yes")&amp;" out of "&amp;COUNTA($D$38:$AAA$38)&amp;", "&amp;100*ROUND(COUNTIF($D$38:$AAA$38,"=Yes")/COUNTA($D$38:$AAA$38),1)&amp;" %]"</f>
        <v>Link closes? [1 out of 1, 100 %]</v>
      </c>
      <c r="C38" s="69"/>
      <c r="D38" s="133" t="s">
        <v>220</v>
      </c>
      <c r="E38" s="133"/>
      <c r="F38" s="82"/>
      <c r="G38" s="82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</row>
    <row r="39" spans="2:36" ht="13.8" x14ac:dyDescent="0.25">
      <c r="B39" s="106" t="s">
        <v>128</v>
      </c>
      <c r="C39" s="69" t="s">
        <v>5</v>
      </c>
      <c r="D39" s="133">
        <v>0.26696541699138443</v>
      </c>
      <c r="E39" s="133"/>
      <c r="F39" s="81"/>
      <c r="G39" s="80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</row>
    <row r="40" spans="2:36" ht="13.8" x14ac:dyDescent="0.25">
      <c r="B40" s="26" t="s">
        <v>122</v>
      </c>
      <c r="C40" s="69" t="s">
        <v>28</v>
      </c>
      <c r="D40" s="137">
        <f>D174</f>
        <v>99.9</v>
      </c>
      <c r="E40" s="137"/>
      <c r="F40" s="81"/>
      <c r="G40" s="80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</row>
    <row r="41" spans="2:36" ht="14.1" customHeight="1" x14ac:dyDescent="0.25">
      <c r="B41" s="99" t="s">
        <v>29</v>
      </c>
      <c r="C41" s="69" t="s">
        <v>28</v>
      </c>
      <c r="D41" s="137">
        <f>D168</f>
        <v>99.900074252625544</v>
      </c>
      <c r="E41" s="137"/>
      <c r="F41" s="80"/>
      <c r="G41" s="87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</row>
    <row r="42" spans="2:36" ht="13.8" x14ac:dyDescent="0.25">
      <c r="B42" s="26" t="str">
        <f>"Availability Requirement Satisfied? ["&amp;COUNTIF($D$42:$AAA$42,"=Yes")&amp;" out of "&amp;COUNTA($D$42:$AAA$42)&amp;", "&amp;100*ROUND(COUNTIF($D$42:$AAA$42,"=Yes")/COUNTA($D$42:$AAA$42),1)&amp;" %]"</f>
        <v>Availability Requirement Satisfied? [1 out of 1, 100 %]</v>
      </c>
      <c r="C42" s="69"/>
      <c r="D42" s="133" t="str">
        <f>D165</f>
        <v>Yes</v>
      </c>
      <c r="E42" s="133"/>
      <c r="F42" s="82"/>
      <c r="G42" s="82"/>
    </row>
    <row r="43" spans="2:36" ht="13.8" x14ac:dyDescent="0.25">
      <c r="B43" s="26" t="s">
        <v>156</v>
      </c>
      <c r="C43" s="71"/>
      <c r="D43" s="136" t="str">
        <f>IFERROR(IF($B$6="Yes",IF(D175&gt;($B$7+0.1),"Yes, by "&amp;TEXT(D175-$B$7,"0.0")&amp;" dB","No"),"Not computed"),"Not computed")</f>
        <v>Not computed</v>
      </c>
      <c r="E43" s="136"/>
      <c r="F43" s="84"/>
      <c r="G43" s="84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</row>
    <row r="44" spans="2:36" ht="13.8" x14ac:dyDescent="0.25">
      <c r="B44" s="26" t="s">
        <v>68</v>
      </c>
      <c r="C44" s="69"/>
      <c r="D44" s="136" t="str">
        <f>IFERROR(IF(OR(ABS(D77-D76)&lt;0.01,ABS(D76-D77)/MAX(D76,D77)&lt;0.01),"Balanced",CONCATENATE(IF(D76&gt;D77,"BW",IF(D76&lt;D77,"PWR","BW &amp; PWR"))," Lim")),"Not computed")</f>
        <v>BW Lim</v>
      </c>
      <c r="E44" s="136"/>
      <c r="F44" s="82"/>
      <c r="G44" s="82"/>
    </row>
    <row r="45" spans="2:36" ht="13.8" x14ac:dyDescent="0.25">
      <c r="B45" s="161" t="s">
        <v>141</v>
      </c>
      <c r="C45" s="108"/>
      <c r="D45" s="136">
        <v>0.15970731593205184</v>
      </c>
      <c r="E45" s="136"/>
      <c r="F45" s="82"/>
      <c r="G45" s="82"/>
    </row>
    <row r="46" spans="2:36" ht="13.8" x14ac:dyDescent="0.25">
      <c r="B46" s="26" t="s">
        <v>151</v>
      </c>
      <c r="C46" s="69"/>
      <c r="D46" s="162" t="s">
        <v>205</v>
      </c>
      <c r="E46" s="162"/>
      <c r="F46" s="82"/>
      <c r="G46" s="82"/>
    </row>
    <row r="47" spans="2:36" ht="13.8" x14ac:dyDescent="0.25">
      <c r="B47" s="23" t="s">
        <v>142</v>
      </c>
      <c r="C47" s="68"/>
      <c r="D47" s="144"/>
      <c r="E47" s="144"/>
      <c r="F47" s="80"/>
      <c r="G47" s="80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</row>
    <row r="48" spans="2:36" ht="13.8" x14ac:dyDescent="0.25">
      <c r="B48" s="48" t="s">
        <v>124</v>
      </c>
      <c r="C48" s="69" t="s">
        <v>24</v>
      </c>
      <c r="D48" s="131">
        <v>-55.593526611892905</v>
      </c>
      <c r="E48" s="131"/>
      <c r="F48" s="80"/>
      <c r="G48" s="80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2:36" ht="13.8" x14ac:dyDescent="0.25">
      <c r="B49" s="48" t="s">
        <v>125</v>
      </c>
      <c r="C49" s="69" t="s">
        <v>24</v>
      </c>
      <c r="D49" s="131">
        <v>-13.082539241396873</v>
      </c>
      <c r="E49" s="131"/>
      <c r="F49" s="80"/>
      <c r="G49" s="80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2:36" ht="16.2" x14ac:dyDescent="0.25">
      <c r="B50" s="48" t="s">
        <v>134</v>
      </c>
      <c r="C50" s="69" t="s">
        <v>145</v>
      </c>
      <c r="D50" s="145">
        <f>D178</f>
        <v>-177.05059249562211</v>
      </c>
      <c r="E50" s="145"/>
      <c r="F50" s="80"/>
      <c r="G50" s="80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spans="2:36" ht="13.8" x14ac:dyDescent="0.25">
      <c r="B51" s="29" t="s">
        <v>53</v>
      </c>
      <c r="C51" s="69" t="s">
        <v>24</v>
      </c>
      <c r="D51" s="133">
        <v>-43.197519699383442</v>
      </c>
      <c r="E51" s="133"/>
      <c r="F51" s="79"/>
      <c r="G51" s="80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</row>
    <row r="52" spans="2:36" ht="13.8" x14ac:dyDescent="0.25">
      <c r="B52" s="19"/>
      <c r="C52" s="70"/>
      <c r="D52" s="117"/>
      <c r="E52" s="117"/>
      <c r="F52" s="82"/>
      <c r="G52" s="82"/>
      <c r="J52" s="3"/>
    </row>
    <row r="53" spans="2:36" ht="13.8" x14ac:dyDescent="0.25">
      <c r="B53" s="2" t="s">
        <v>13</v>
      </c>
      <c r="C53" s="71"/>
      <c r="D53" s="112"/>
      <c r="E53" s="112"/>
      <c r="F53" s="82"/>
      <c r="G53" s="82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</row>
    <row r="54" spans="2:36" ht="13.8" x14ac:dyDescent="0.25">
      <c r="B54" s="23" t="s">
        <v>47</v>
      </c>
      <c r="C54" s="68"/>
      <c r="D54" s="133" t="str">
        <f>CONCATENATE(D158," ",D159)</f>
        <v xml:space="preserve">USA-33453-QMM </v>
      </c>
      <c r="E54" s="133"/>
      <c r="F54" s="80"/>
      <c r="G54" s="80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</row>
    <row r="55" spans="2:36" ht="13.8" outlineLevel="1" x14ac:dyDescent="0.25">
      <c r="B55" s="29" t="s">
        <v>48</v>
      </c>
      <c r="C55" s="69" t="s">
        <v>20</v>
      </c>
      <c r="D55" s="132">
        <v>34.076073999999998</v>
      </c>
      <c r="E55" s="132"/>
      <c r="F55" s="80"/>
      <c r="G55" s="80"/>
      <c r="I55" s="7"/>
      <c r="J55" s="3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</row>
    <row r="56" spans="2:36" ht="13.8" outlineLevel="1" x14ac:dyDescent="0.25">
      <c r="B56" s="25" t="s">
        <v>49</v>
      </c>
      <c r="C56" s="69" t="s">
        <v>18</v>
      </c>
      <c r="D56" s="131">
        <v>-118.65852700000001</v>
      </c>
      <c r="E56" s="131"/>
      <c r="F56" s="80"/>
      <c r="G56" s="80"/>
      <c r="I56" s="7"/>
      <c r="J56" s="3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</row>
    <row r="57" spans="2:36" ht="13.8" outlineLevel="1" x14ac:dyDescent="0.25">
      <c r="B57" s="24" t="s">
        <v>232</v>
      </c>
      <c r="C57" s="69"/>
      <c r="D57" s="135" t="str">
        <f>IFERROR(CONCATENATE(D$209,"m. "&amp;IF(AND(D$210=1,D$206=""),"Circular",IF(D$206="","Elliptical (Ratio "&amp;D$210&amp;")","Product pattern"))),(D$209&amp;"m. Circular"))</f>
        <v>2.4m. Circular</v>
      </c>
      <c r="E57" s="135"/>
      <c r="F57" s="80"/>
      <c r="G57" s="80"/>
      <c r="I57" s="1"/>
      <c r="J57" s="3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2:36" ht="13.8" outlineLevel="1" x14ac:dyDescent="0.25">
      <c r="B58" s="24" t="s">
        <v>231</v>
      </c>
      <c r="C58" s="69" t="s">
        <v>5</v>
      </c>
      <c r="D58" s="132">
        <v>0.25934499486516149</v>
      </c>
      <c r="E58" s="132"/>
      <c r="F58" s="80"/>
      <c r="G58" s="80"/>
      <c r="I58" s="1"/>
      <c r="J58" s="3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2:36" ht="13.8" outlineLevel="1" x14ac:dyDescent="0.25">
      <c r="B59" s="24" t="s">
        <v>227</v>
      </c>
      <c r="C59" s="69"/>
      <c r="D59" s="135" t="str">
        <f>IF(D$206="",D$205,D$206)</f>
        <v>ITU-R S.580-6</v>
      </c>
      <c r="E59" s="135"/>
      <c r="F59" s="80"/>
      <c r="G59" s="80"/>
      <c r="I59" s="1"/>
      <c r="J59" s="3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2:36" ht="13.8" outlineLevel="1" x14ac:dyDescent="0.25">
      <c r="B60" s="24" t="s">
        <v>222</v>
      </c>
      <c r="C60" s="69" t="s">
        <v>103</v>
      </c>
      <c r="D60" s="135" t="str">
        <f>IFERROR(D$216,"Not computed")</f>
        <v>37.81˚ (Circular)</v>
      </c>
      <c r="E60" s="135"/>
      <c r="F60" s="80"/>
      <c r="G60" s="80"/>
      <c r="I60" s="1"/>
      <c r="J60" s="3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2:36" ht="13.8" outlineLevel="1" x14ac:dyDescent="0.25">
      <c r="B61" s="25" t="s">
        <v>21</v>
      </c>
      <c r="C61" s="69" t="s">
        <v>103</v>
      </c>
      <c r="D61" s="132">
        <v>38.134519957909895</v>
      </c>
      <c r="E61" s="132"/>
      <c r="F61" s="80"/>
      <c r="G61" s="80"/>
      <c r="J61" s="3"/>
    </row>
    <row r="62" spans="2:36" ht="13.8" outlineLevel="1" x14ac:dyDescent="0.25">
      <c r="B62" s="25" t="s">
        <v>198</v>
      </c>
      <c r="C62" s="69"/>
      <c r="D62" s="132">
        <f>IFERROR(D$217-D$58,"Not computed")</f>
        <v>42.251642375630873</v>
      </c>
      <c r="E62" s="132"/>
      <c r="F62" s="80"/>
      <c r="G62" s="80"/>
      <c r="J62" s="3"/>
    </row>
    <row r="63" spans="2:36" ht="13.8" outlineLevel="1" x14ac:dyDescent="0.25">
      <c r="B63" s="25" t="s">
        <v>50</v>
      </c>
      <c r="C63" s="69" t="s">
        <v>5</v>
      </c>
      <c r="D63" s="131">
        <v>1.0711072020700019</v>
      </c>
      <c r="E63" s="131"/>
      <c r="F63" s="80"/>
      <c r="G63" s="80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</row>
    <row r="64" spans="2:36" ht="13.8" x14ac:dyDescent="0.25">
      <c r="B64" s="113" t="s">
        <v>6</v>
      </c>
      <c r="C64" s="114"/>
      <c r="D64" s="118"/>
      <c r="E64" s="118"/>
      <c r="F64" s="80"/>
      <c r="G64" s="80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</row>
    <row r="65" spans="2:36" ht="13.8" outlineLevel="1" x14ac:dyDescent="0.25">
      <c r="B65" s="2" t="s">
        <v>12</v>
      </c>
      <c r="C65" s="75"/>
      <c r="D65" s="112"/>
      <c r="E65" s="112"/>
      <c r="F65" s="80"/>
      <c r="G65" s="80"/>
      <c r="I65" s="7"/>
      <c r="J65" s="3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</row>
    <row r="66" spans="2:36" ht="13.8" outlineLevel="1" x14ac:dyDescent="0.25">
      <c r="B66" s="23" t="s">
        <v>126</v>
      </c>
      <c r="C66" s="108" t="s">
        <v>1</v>
      </c>
      <c r="D66" s="133">
        <v>6361.3369000000002</v>
      </c>
      <c r="E66" s="133"/>
      <c r="F66" s="80"/>
      <c r="G66" s="80"/>
      <c r="I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</row>
    <row r="67" spans="2:36" ht="13.8" outlineLevel="1" x14ac:dyDescent="0.25">
      <c r="B67" s="23"/>
      <c r="C67" s="69"/>
      <c r="D67" s="133"/>
      <c r="E67" s="133"/>
      <c r="F67" s="80"/>
      <c r="G67" s="80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</row>
    <row r="68" spans="2:36" ht="13.8" outlineLevel="1" x14ac:dyDescent="0.25">
      <c r="B68" s="23" t="s">
        <v>61</v>
      </c>
      <c r="C68" s="69"/>
      <c r="D68" s="133">
        <v>1</v>
      </c>
      <c r="E68" s="133"/>
      <c r="F68" s="80"/>
      <c r="G68" s="80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</row>
    <row r="69" spans="2:36" ht="13.8" outlineLevel="1" x14ac:dyDescent="0.25">
      <c r="B69" s="109" t="s">
        <v>152</v>
      </c>
      <c r="C69" s="69"/>
      <c r="D69" s="163"/>
      <c r="E69" s="163"/>
      <c r="F69" s="80"/>
      <c r="G69" s="80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</row>
    <row r="70" spans="2:36" ht="13.8" outlineLevel="1" x14ac:dyDescent="0.25">
      <c r="B70" s="109" t="s">
        <v>105</v>
      </c>
      <c r="C70" s="69"/>
      <c r="D70" s="133" t="str">
        <f>D147</f>
        <v>QPSK 3/4 TPC</v>
      </c>
      <c r="E70" s="133"/>
      <c r="F70" s="80"/>
      <c r="G70" s="80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</row>
    <row r="71" spans="2:36" ht="13.8" outlineLevel="1" x14ac:dyDescent="0.25">
      <c r="B71" s="110" t="s">
        <v>106</v>
      </c>
      <c r="C71" s="69" t="s">
        <v>27</v>
      </c>
      <c r="D71" s="132">
        <v>0.224</v>
      </c>
      <c r="E71" s="132"/>
      <c r="F71" s="80"/>
      <c r="G71" s="80"/>
      <c r="I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</row>
    <row r="72" spans="2:36" ht="13.8" outlineLevel="1" x14ac:dyDescent="0.25">
      <c r="B72" s="35" t="s">
        <v>51</v>
      </c>
      <c r="C72" s="69" t="s">
        <v>25</v>
      </c>
      <c r="D72" s="132">
        <v>0.14933333333333335</v>
      </c>
      <c r="E72" s="132"/>
      <c r="F72" s="80"/>
      <c r="G72" s="80"/>
      <c r="I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</row>
    <row r="73" spans="2:36" ht="13.8" outlineLevel="1" x14ac:dyDescent="0.25">
      <c r="B73" s="29" t="s">
        <v>131</v>
      </c>
      <c r="C73" s="69"/>
      <c r="D73" s="132">
        <v>0.75</v>
      </c>
      <c r="E73" s="132"/>
      <c r="F73" s="80"/>
      <c r="G73" s="80"/>
      <c r="J73" s="3"/>
    </row>
    <row r="74" spans="2:36" ht="13.8" outlineLevel="1" x14ac:dyDescent="0.25">
      <c r="B74" s="25" t="s">
        <v>64</v>
      </c>
      <c r="C74" s="69" t="s">
        <v>1</v>
      </c>
      <c r="D74" s="131">
        <v>0.14933333333333335</v>
      </c>
      <c r="E74" s="131"/>
      <c r="F74" s="80"/>
      <c r="G74" s="80"/>
      <c r="I74" s="1"/>
      <c r="J74" s="3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2:36" ht="13.8" x14ac:dyDescent="0.25">
      <c r="B75" s="25" t="s">
        <v>9</v>
      </c>
      <c r="C75" s="69"/>
      <c r="D75" s="131">
        <v>1</v>
      </c>
      <c r="E75" s="131"/>
      <c r="F75" s="83"/>
      <c r="G75" s="8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</row>
    <row r="76" spans="2:36" ht="13.8" x14ac:dyDescent="0.25">
      <c r="B76" s="122" t="s">
        <v>46</v>
      </c>
      <c r="C76" s="69" t="s">
        <v>1</v>
      </c>
      <c r="D76" s="131">
        <v>0.18666666666666668</v>
      </c>
      <c r="E76" s="131"/>
      <c r="F76" s="84"/>
      <c r="G76" s="84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</row>
    <row r="77" spans="2:36" ht="13.8" x14ac:dyDescent="0.25">
      <c r="B77" s="33" t="s">
        <v>26</v>
      </c>
      <c r="C77" s="69" t="s">
        <v>1</v>
      </c>
      <c r="D77" s="131">
        <v>2.9812032307316345E-2</v>
      </c>
      <c r="E77" s="131"/>
      <c r="F77" s="82"/>
      <c r="G77" s="82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</row>
    <row r="78" spans="2:36" ht="13.8" x14ac:dyDescent="0.25">
      <c r="B78" s="84"/>
      <c r="C78" s="76"/>
      <c r="D78" s="112"/>
      <c r="E78" s="112"/>
      <c r="F78" s="82"/>
      <c r="G78" s="82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</row>
    <row r="79" spans="2:36" ht="13.8" x14ac:dyDescent="0.25">
      <c r="B79" s="47" t="s">
        <v>11</v>
      </c>
      <c r="C79" s="76"/>
      <c r="D79" s="164" t="s">
        <v>117</v>
      </c>
      <c r="E79" s="164"/>
      <c r="F79" s="85"/>
      <c r="G79" s="82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</row>
    <row r="80" spans="2:36" ht="13.8" x14ac:dyDescent="0.25">
      <c r="B80" s="48" t="s">
        <v>98</v>
      </c>
      <c r="C80" s="69" t="s">
        <v>97</v>
      </c>
      <c r="D80" s="134">
        <f>IFERROR(D155/D72,"-")</f>
        <v>1.5</v>
      </c>
      <c r="E80" s="134"/>
      <c r="F80" s="85"/>
      <c r="G80" s="82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</row>
    <row r="81" spans="2:36" ht="13.8" x14ac:dyDescent="0.25">
      <c r="B81" s="102" t="s">
        <v>70</v>
      </c>
      <c r="C81" s="69" t="s">
        <v>27</v>
      </c>
      <c r="D81" s="124">
        <v>0.224</v>
      </c>
      <c r="E81" s="124"/>
      <c r="F81" s="82"/>
      <c r="G81" s="82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</row>
    <row r="82" spans="2:36" ht="13.8" x14ac:dyDescent="0.25">
      <c r="B82" s="102" t="s">
        <v>85</v>
      </c>
      <c r="C82" s="69"/>
      <c r="D82" s="133" t="str">
        <f>D147</f>
        <v>QPSK 3/4 TPC</v>
      </c>
      <c r="E82" s="133"/>
      <c r="F82" s="80"/>
      <c r="G82" s="86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</row>
    <row r="83" spans="2:36" ht="13.8" x14ac:dyDescent="0.25">
      <c r="B83" s="102" t="s">
        <v>158</v>
      </c>
      <c r="C83" s="69"/>
      <c r="D83" s="133"/>
      <c r="E83" s="133"/>
      <c r="F83" s="80"/>
      <c r="G83" s="86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</row>
    <row r="84" spans="2:36" ht="13.8" x14ac:dyDescent="0.25">
      <c r="B84" s="48" t="s">
        <v>101</v>
      </c>
      <c r="C84" s="69" t="s">
        <v>97</v>
      </c>
      <c r="D84" s="124" t="str">
        <f>IF(D79="Yes",IFERROR(IF(LOWER(D162)="yes","clear weather only",D156/D72),"-"),"N/A")</f>
        <v>N/A</v>
      </c>
      <c r="E84" s="124"/>
      <c r="F84" s="80"/>
      <c r="G84" s="86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</row>
    <row r="85" spans="2:36" ht="13.8" x14ac:dyDescent="0.25">
      <c r="B85" s="102" t="s">
        <v>100</v>
      </c>
      <c r="C85" s="69" t="s">
        <v>27</v>
      </c>
      <c r="D85" s="124" t="str">
        <f>IF(D79="yes",D157,"N/A")</f>
        <v>N/A</v>
      </c>
      <c r="E85" s="124"/>
      <c r="F85" s="80"/>
      <c r="G85" s="82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</row>
    <row r="86" spans="2:36" ht="13.8" x14ac:dyDescent="0.25">
      <c r="B86" s="102" t="s">
        <v>99</v>
      </c>
      <c r="C86" s="69"/>
      <c r="D86" s="133" t="str">
        <f>IF(D79="Yes",D148,"N/A")</f>
        <v>N/A</v>
      </c>
      <c r="E86" s="133"/>
      <c r="F86" s="80"/>
      <c r="G86" s="82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</row>
    <row r="87" spans="2:36" ht="13.8" x14ac:dyDescent="0.25">
      <c r="B87" s="20" t="s">
        <v>6</v>
      </c>
      <c r="C87" s="73"/>
      <c r="D87" s="117"/>
      <c r="E87" s="117"/>
      <c r="F87" s="80"/>
      <c r="G87" s="82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</row>
    <row r="88" spans="2:36" ht="13.8" x14ac:dyDescent="0.25">
      <c r="B88" s="4" t="s">
        <v>7</v>
      </c>
      <c r="C88" s="72"/>
      <c r="D88" s="112"/>
      <c r="E88" s="112"/>
      <c r="F88" s="80"/>
      <c r="G88" s="86"/>
      <c r="I88" s="6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</row>
    <row r="89" spans="2:36" ht="13.8" x14ac:dyDescent="0.25">
      <c r="B89" s="47" t="s">
        <v>10</v>
      </c>
      <c r="C89" s="71"/>
      <c r="D89" s="116"/>
      <c r="E89" s="116"/>
      <c r="F89" s="80"/>
      <c r="G89" s="86"/>
      <c r="I89" s="6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</row>
    <row r="90" spans="2:36" ht="14.1" customHeight="1" x14ac:dyDescent="0.25">
      <c r="B90" s="49" t="s">
        <v>221</v>
      </c>
      <c r="C90" s="69"/>
      <c r="D90" s="132">
        <v>38.659028351387946</v>
      </c>
      <c r="E90" s="132"/>
      <c r="F90" s="82"/>
      <c r="G90" s="82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</row>
    <row r="91" spans="2:36" ht="14.1" customHeight="1" outlineLevel="1" x14ac:dyDescent="0.25">
      <c r="B91" s="49" t="s">
        <v>65</v>
      </c>
      <c r="C91" s="69" t="s">
        <v>5</v>
      </c>
      <c r="D91" s="132">
        <f>IF(LOWER($B$6)="yes","ALC active",D176)</f>
        <v>-34.609109175636434</v>
      </c>
      <c r="E91" s="132"/>
      <c r="F91" s="82"/>
      <c r="G91" s="82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</row>
    <row r="92" spans="2:36" ht="14.1" customHeight="1" outlineLevel="1" x14ac:dyDescent="0.25">
      <c r="B92" s="49" t="s">
        <v>143</v>
      </c>
      <c r="C92" s="69" t="s">
        <v>144</v>
      </c>
      <c r="D92" s="132">
        <v>-124.2379177007673</v>
      </c>
      <c r="E92" s="132"/>
      <c r="F92" s="82"/>
      <c r="G92" s="8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</row>
    <row r="93" spans="2:36" ht="14.1" customHeight="1" outlineLevel="1" x14ac:dyDescent="0.35">
      <c r="B93" s="98" t="s">
        <v>67</v>
      </c>
      <c r="C93" s="69" t="s">
        <v>5</v>
      </c>
      <c r="D93" s="132">
        <v>17.49175498937548</v>
      </c>
      <c r="E93" s="132"/>
      <c r="F93" s="82"/>
      <c r="G93" s="82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</row>
    <row r="94" spans="2:36" ht="14.1" customHeight="1" outlineLevel="1" x14ac:dyDescent="0.25">
      <c r="B94" s="127" t="s">
        <v>150</v>
      </c>
      <c r="C94" s="69" t="s">
        <v>5</v>
      </c>
      <c r="D94" s="132">
        <v>16.813178151760589</v>
      </c>
      <c r="E94" s="132"/>
      <c r="F94" s="82"/>
      <c r="G94" s="82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</row>
    <row r="95" spans="2:36" ht="14.1" customHeight="1" outlineLevel="1" x14ac:dyDescent="0.25">
      <c r="B95" s="90" t="s">
        <v>74</v>
      </c>
      <c r="C95" s="107" t="s">
        <v>5</v>
      </c>
      <c r="D95" s="141">
        <v>11.180074198804581</v>
      </c>
      <c r="E95" s="141"/>
      <c r="F95" s="82"/>
      <c r="G95" s="82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</row>
    <row r="96" spans="2:36" ht="13.5" customHeight="1" outlineLevel="1" x14ac:dyDescent="0.25">
      <c r="B96" s="142" t="s">
        <v>199</v>
      </c>
      <c r="C96" s="69" t="s">
        <v>5</v>
      </c>
      <c r="D96" s="132">
        <v>0.33248270730562202</v>
      </c>
      <c r="E96" s="132"/>
      <c r="F96" s="82"/>
      <c r="G96" s="8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</row>
    <row r="97" spans="2:36" ht="13.5" customHeight="1" outlineLevel="1" x14ac:dyDescent="0.25">
      <c r="B97" s="142" t="s">
        <v>135</v>
      </c>
      <c r="C97" s="107" t="s">
        <v>5</v>
      </c>
      <c r="D97" s="132">
        <v>10.921651766143448</v>
      </c>
      <c r="E97" s="132"/>
      <c r="F97" s="82"/>
      <c r="G97" s="8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</row>
    <row r="98" spans="2:36" ht="13.8" x14ac:dyDescent="0.25">
      <c r="B98" s="139" t="s">
        <v>69</v>
      </c>
      <c r="C98" s="107" t="s">
        <v>28</v>
      </c>
      <c r="D98" s="143">
        <f>D166</f>
        <v>99.900220308335577</v>
      </c>
      <c r="E98" s="143"/>
      <c r="F98" s="83"/>
      <c r="G98" s="8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</row>
    <row r="99" spans="2:36" ht="13.8" x14ac:dyDescent="0.25">
      <c r="B99" s="13"/>
      <c r="C99" s="36"/>
      <c r="D99" s="78"/>
      <c r="E99" s="78"/>
      <c r="F99" s="83"/>
      <c r="G99" s="8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</row>
    <row r="100" spans="2:36" ht="13.8" x14ac:dyDescent="0.25">
      <c r="B100" s="34" t="s">
        <v>113</v>
      </c>
      <c r="C100" s="75"/>
      <c r="D100" s="123"/>
      <c r="E100" s="123"/>
      <c r="F100" s="84"/>
      <c r="G100" s="84"/>
    </row>
    <row r="101" spans="2:36" ht="13.8" x14ac:dyDescent="0.25">
      <c r="B101" s="52" t="s">
        <v>114</v>
      </c>
      <c r="C101" s="69"/>
      <c r="D101" s="129" t="s">
        <v>238</v>
      </c>
      <c r="E101" s="129"/>
      <c r="F101" s="84"/>
      <c r="G101" s="84"/>
    </row>
    <row r="102" spans="2:36" ht="13.8" outlineLevel="1" x14ac:dyDescent="0.25">
      <c r="B102" s="103"/>
      <c r="C102" s="76"/>
      <c r="D102" s="77"/>
      <c r="E102" s="77"/>
      <c r="F102" s="80"/>
      <c r="G102" s="80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</row>
    <row r="103" spans="2:36" ht="13.8" outlineLevel="1" x14ac:dyDescent="0.25">
      <c r="B103" s="105" t="s">
        <v>129</v>
      </c>
      <c r="C103" s="104" t="s">
        <v>5</v>
      </c>
      <c r="D103" s="138">
        <v>7.4278780075481965</v>
      </c>
      <c r="E103" s="138"/>
      <c r="F103" s="80"/>
      <c r="G103" s="80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</row>
    <row r="104" spans="2:36" ht="13.8" outlineLevel="1" x14ac:dyDescent="0.25">
      <c r="B104" s="105" t="s">
        <v>136</v>
      </c>
      <c r="C104" s="107" t="s">
        <v>5</v>
      </c>
      <c r="D104" s="140">
        <v>5.6669654169913848</v>
      </c>
      <c r="E104" s="140"/>
      <c r="F104" s="80"/>
      <c r="G104" s="80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</row>
    <row r="105" spans="2:36" ht="13.8" outlineLevel="1" x14ac:dyDescent="0.25">
      <c r="B105" s="48" t="s">
        <v>139</v>
      </c>
      <c r="C105" s="69" t="s">
        <v>5</v>
      </c>
      <c r="D105" s="124">
        <v>7.1645112672638911</v>
      </c>
      <c r="E105" s="124"/>
      <c r="F105" s="80"/>
      <c r="G105" s="80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</row>
    <row r="106" spans="2:36" ht="13.8" outlineLevel="1" x14ac:dyDescent="0.25">
      <c r="B106" s="48" t="s">
        <v>140</v>
      </c>
      <c r="C106" s="69" t="s">
        <v>5</v>
      </c>
      <c r="D106" s="124">
        <v>7.1621112864394441</v>
      </c>
      <c r="E106" s="124"/>
      <c r="F106" s="80"/>
      <c r="G106" s="80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</row>
    <row r="107" spans="2:36" ht="13.8" outlineLevel="1" x14ac:dyDescent="0.25">
      <c r="B107" s="105" t="s">
        <v>130</v>
      </c>
      <c r="C107" s="104" t="s">
        <v>5</v>
      </c>
      <c r="D107" s="138">
        <v>9.35</v>
      </c>
      <c r="E107" s="138"/>
      <c r="F107" s="80"/>
      <c r="G107" s="80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</row>
    <row r="108" spans="2:36" ht="13.8" outlineLevel="1" x14ac:dyDescent="0.25">
      <c r="B108" s="25" t="s">
        <v>149</v>
      </c>
      <c r="C108" s="69" t="s">
        <v>5</v>
      </c>
      <c r="D108" s="124">
        <v>7.160912590556813</v>
      </c>
      <c r="E108" s="124"/>
      <c r="F108" s="80"/>
      <c r="G108" s="80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</row>
    <row r="109" spans="2:36" ht="13.8" outlineLevel="1" x14ac:dyDescent="0.25">
      <c r="B109" s="25" t="s">
        <v>112</v>
      </c>
      <c r="C109" s="69" t="s">
        <v>5</v>
      </c>
      <c r="D109" s="133">
        <v>5.4</v>
      </c>
      <c r="E109" s="133"/>
      <c r="F109" s="80"/>
      <c r="G109" s="80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</row>
    <row r="110" spans="2:36" ht="13.8" outlineLevel="1" x14ac:dyDescent="0.25">
      <c r="B110" s="106" t="s">
        <v>128</v>
      </c>
      <c r="C110" s="107" t="s">
        <v>5</v>
      </c>
      <c r="D110" s="136">
        <v>0.26696541699138443</v>
      </c>
      <c r="E110" s="136"/>
      <c r="F110" s="80"/>
      <c r="G110" s="80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</row>
    <row r="111" spans="2:36" ht="13.8" outlineLevel="1" x14ac:dyDescent="0.25">
      <c r="B111" s="31"/>
      <c r="C111" s="74"/>
      <c r="D111" s="115"/>
      <c r="E111" s="115"/>
      <c r="F111" s="80"/>
      <c r="G111" s="80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</row>
    <row r="112" spans="2:36" ht="13.8" outlineLevel="1" x14ac:dyDescent="0.25">
      <c r="B112" s="34" t="s">
        <v>104</v>
      </c>
      <c r="C112" s="75"/>
      <c r="D112" s="119"/>
      <c r="E112" s="119"/>
      <c r="F112" s="80"/>
      <c r="G112" s="80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</row>
    <row r="113" spans="2:36" ht="13.8" x14ac:dyDescent="0.25">
      <c r="B113" s="50" t="s">
        <v>119</v>
      </c>
      <c r="C113" s="69" t="s">
        <v>24</v>
      </c>
      <c r="D113" s="124">
        <v>-55.593526611892905</v>
      </c>
      <c r="E113" s="124"/>
      <c r="F113" s="80"/>
      <c r="G113" s="80"/>
    </row>
    <row r="114" spans="2:36" ht="13.8" x14ac:dyDescent="0.25">
      <c r="B114" s="50" t="s">
        <v>115</v>
      </c>
      <c r="C114" s="69" t="s">
        <v>24</v>
      </c>
      <c r="D114" s="124">
        <v>-13.082539241396873</v>
      </c>
      <c r="E114" s="124"/>
      <c r="F114" s="84"/>
      <c r="G114" s="84"/>
    </row>
    <row r="115" spans="2:36" ht="13.8" x14ac:dyDescent="0.25">
      <c r="B115" s="33" t="s">
        <v>228</v>
      </c>
      <c r="C115" s="69" t="s">
        <v>103</v>
      </c>
      <c r="D115" s="135" t="str">
        <f>IFERROR(D$216,"Not computed")</f>
        <v>37.81˚ (Circular)</v>
      </c>
      <c r="E115" s="135"/>
      <c r="F115" s="84"/>
      <c r="G115" s="84"/>
    </row>
    <row r="116" spans="2:36" ht="13.8" x14ac:dyDescent="0.25">
      <c r="B116" s="33" t="s">
        <v>107</v>
      </c>
      <c r="C116" s="69" t="s">
        <v>24</v>
      </c>
      <c r="D116" s="135">
        <v>-34.119276503492436</v>
      </c>
      <c r="E116" s="135"/>
      <c r="F116" s="84"/>
      <c r="G116" s="84"/>
    </row>
    <row r="117" spans="2:36" ht="13.8" x14ac:dyDescent="0.25">
      <c r="B117" s="50"/>
      <c r="C117" s="69"/>
      <c r="D117" s="124"/>
      <c r="E117" s="124"/>
      <c r="F117" s="84"/>
      <c r="G117" s="84"/>
    </row>
    <row r="118" spans="2:36" ht="13.8" x14ac:dyDescent="0.25">
      <c r="B118" s="47"/>
      <c r="C118" s="76"/>
      <c r="D118" s="89"/>
      <c r="E118" s="89"/>
      <c r="F118" s="80"/>
      <c r="G118" s="80"/>
    </row>
    <row r="119" spans="2:36" ht="13.8" x14ac:dyDescent="0.25">
      <c r="B119" s="12" t="s">
        <v>8</v>
      </c>
      <c r="C119" s="71"/>
      <c r="D119" s="126"/>
      <c r="E119" s="126"/>
      <c r="F119" s="84"/>
      <c r="G119" s="84"/>
    </row>
    <row r="120" spans="2:36" ht="13.8" x14ac:dyDescent="0.25">
      <c r="B120" s="50" t="s">
        <v>186</v>
      </c>
      <c r="C120" s="69"/>
      <c r="D120" s="124">
        <v>1</v>
      </c>
      <c r="E120" s="124"/>
      <c r="F120" s="84"/>
      <c r="G120" s="84"/>
    </row>
    <row r="121" spans="2:36" ht="13.8" x14ac:dyDescent="0.25">
      <c r="B121" s="50" t="s">
        <v>79</v>
      </c>
      <c r="C121" s="69" t="s">
        <v>2</v>
      </c>
      <c r="D121" s="124">
        <f>IFERROR(MAX(D136,D137),"Not computed")</f>
        <v>38.399683356522786</v>
      </c>
      <c r="E121" s="124"/>
      <c r="F121" s="80"/>
      <c r="G121" s="80"/>
    </row>
    <row r="122" spans="2:36" ht="13.8" x14ac:dyDescent="0.25">
      <c r="B122" s="51" t="s">
        <v>30</v>
      </c>
      <c r="C122" s="69" t="s">
        <v>5</v>
      </c>
      <c r="D122" s="125">
        <v>0</v>
      </c>
      <c r="E122" s="125"/>
      <c r="F122" s="84"/>
      <c r="G122" s="8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</row>
    <row r="123" spans="2:36" ht="13.8" x14ac:dyDescent="0.25">
      <c r="B123" s="50" t="s">
        <v>111</v>
      </c>
      <c r="C123" s="69"/>
      <c r="D123" s="124" t="str">
        <f>CONCATENATE(IF(ISBLANK(D131),"Not Defined",D131)," | ",D130)</f>
        <v>Not Defined | Single Carrier</v>
      </c>
      <c r="E123" s="124"/>
      <c r="F123" s="84"/>
      <c r="G123" s="8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</row>
    <row r="124" spans="2:36" ht="12.9" customHeight="1" x14ac:dyDescent="0.25">
      <c r="B124" s="50" t="s">
        <v>52</v>
      </c>
      <c r="C124" s="69" t="s">
        <v>5</v>
      </c>
      <c r="D124" s="124">
        <v>-1</v>
      </c>
      <c r="E124" s="124"/>
      <c r="F124" s="88"/>
      <c r="G124" s="88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</row>
    <row r="125" spans="2:36" ht="12.9" customHeight="1" x14ac:dyDescent="0.25">
      <c r="B125" s="176" t="s">
        <v>118</v>
      </c>
      <c r="C125" s="69" t="s">
        <v>19</v>
      </c>
      <c r="D125" s="124">
        <f>IFERROR(_xlfn.CEILING.MATH(D132,0.1),"Not computed")</f>
        <v>0.60000000000000009</v>
      </c>
      <c r="E125" s="124"/>
      <c r="F125" s="88"/>
      <c r="G125" s="88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</row>
    <row r="126" spans="2:36" ht="13.8" x14ac:dyDescent="0.25">
      <c r="B126" s="177" t="s">
        <v>195</v>
      </c>
      <c r="C126" s="69" t="s">
        <v>19</v>
      </c>
      <c r="D126" s="124" t="str">
        <f>IF(OR(D131="",ISBLANK(D131)),"HPA type not supplied",D135)</f>
        <v>HPA type not supplied</v>
      </c>
      <c r="E126" s="124"/>
      <c r="F126" s="80"/>
      <c r="G126" s="80"/>
      <c r="I126" s="1"/>
      <c r="J126" s="3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</row>
    <row r="127" spans="2:36" ht="13.8" x14ac:dyDescent="0.25">
      <c r="B127" s="177" t="s">
        <v>196</v>
      </c>
      <c r="C127" s="69" t="s">
        <v>19</v>
      </c>
      <c r="D127" s="124" t="str">
        <f>IF(OR(D131="",ISBLANK(D131)),"HPA type not supplied",D134)</f>
        <v>HPA type not supplied</v>
      </c>
      <c r="E127" s="124"/>
      <c r="F127" s="80"/>
      <c r="G127" s="80"/>
      <c r="I127" s="1"/>
      <c r="J127" s="3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</row>
    <row r="128" spans="2:36" ht="12.9" customHeight="1" x14ac:dyDescent="0.25">
      <c r="B128" s="32"/>
      <c r="C128" s="53"/>
      <c r="D128" s="111"/>
      <c r="E128" s="111"/>
      <c r="F128" s="88"/>
      <c r="G128" s="88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</row>
    <row r="129" spans="2:36" ht="13.8" x14ac:dyDescent="0.25">
      <c r="B129" s="32"/>
      <c r="C129" s="167" t="s">
        <v>108</v>
      </c>
      <c r="D129" s="168" t="s">
        <v>35</v>
      </c>
      <c r="E129" s="168"/>
      <c r="F129" s="80"/>
      <c r="G129" s="80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</row>
    <row r="130" spans="2:36" ht="13.8" x14ac:dyDescent="0.25">
      <c r="B130" s="32"/>
      <c r="C130" s="167" t="s">
        <v>109</v>
      </c>
      <c r="D130" s="168" t="s">
        <v>207</v>
      </c>
      <c r="E130" s="168"/>
      <c r="F130" s="84"/>
      <c r="G130" s="84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</row>
    <row r="131" spans="2:36" ht="13.8" hidden="1" outlineLevel="1" x14ac:dyDescent="0.25">
      <c r="B131" s="32"/>
      <c r="C131" s="167" t="s">
        <v>110</v>
      </c>
      <c r="D131" s="168"/>
      <c r="E131" s="168"/>
      <c r="F131" s="80"/>
      <c r="G131" s="80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</row>
    <row r="132" spans="2:36" ht="13.8" hidden="1" outlineLevel="1" x14ac:dyDescent="0.25">
      <c r="B132" s="32"/>
      <c r="C132" s="167" t="s">
        <v>175</v>
      </c>
      <c r="D132" s="168">
        <v>0.53678960625520367</v>
      </c>
      <c r="E132" s="168"/>
      <c r="F132" s="80"/>
      <c r="G132" s="80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</row>
    <row r="133" spans="2:36" ht="13.8" hidden="1" outlineLevel="1" x14ac:dyDescent="0.25">
      <c r="B133" s="32"/>
      <c r="C133" s="167" t="s">
        <v>185</v>
      </c>
      <c r="D133" s="168"/>
      <c r="E133" s="168"/>
      <c r="F133" s="80"/>
      <c r="G133" s="80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</row>
    <row r="134" spans="2:36" ht="13.8" hidden="1" outlineLevel="1" x14ac:dyDescent="0.25">
      <c r="B134" s="32"/>
      <c r="C134" s="167" t="s">
        <v>182</v>
      </c>
      <c r="D134" s="171">
        <f ca="1">IFERROR(INDEX(OFFSET('HPA-data'!$I$1,CHOOSE(MATCH(D129,{"C","X","Ku","Ka","Q"},0),1,10,19,28,37)+MATCH(IF(ISBLANK(D131),"SSPA",D131),{"SSPA","SSPB","BUC","TWTA","Linearized TWTA","Linearised TWTA","Klystron"},0)-1,0,1,35),MATCH(TRUNC(D132,6),OFFSET('HPA-data'!$I$1,CHOOSE(MATCH(D129,{"C","X","Ku","Ka","Q"},0),1,10,19,28,37)+MATCH(IF(ISBLANK(D131),"SSPA",D131),{"SSPA","SSPB","BUC","TWTA","Linearized TWTA","Linearised TWTA","Klystron"},0)-1,0,1,35),-1)),"Larger than maximum in class.")</f>
        <v>1</v>
      </c>
      <c r="E134" s="171"/>
      <c r="F134" s="80"/>
      <c r="G134" s="80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</row>
    <row r="135" spans="2:36" ht="13.8" hidden="1" outlineLevel="1" x14ac:dyDescent="0.25">
      <c r="B135" s="32"/>
      <c r="C135" s="167" t="s">
        <v>191</v>
      </c>
      <c r="D135" s="171">
        <f ca="1">IFERROR(INDEX(OFFSET('HPA-data'!$I$1,CHOOSE(MATCH(D129,{"C","X","Ku","Ka","Q"},0),1,10,19,28,37)+MATCH(IF(ISBLANK(D131),"SSPA",D131),{"SSPA","SSPB","BUC","TWTA","Linearized TWTA","Linearised TWTA","Klystron"},0)-1,0,1,35),MATCH(TRUNC(D132/D120,6),OFFSET('HPA-data'!$I$1,CHOOSE(MATCH(D129,{"C","X","Ku","Ka","Q"},0),1,10,19,28,37)+MATCH(IF(ISBLANK(D131),"SSPA",D131),{"SSPA","SSPB","BUC","TWTA","Linearized TWTA","Linearised TWTA","Klystron"},0)-1,0,1,35),-1)),"Larger than maximum in class.")</f>
        <v>1</v>
      </c>
      <c r="E135" s="171"/>
      <c r="F135" s="80"/>
      <c r="G135" s="80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</row>
    <row r="136" spans="2:36" ht="13.8" hidden="1" outlineLevel="1" x14ac:dyDescent="0.25">
      <c r="B136" s="32"/>
      <c r="C136" s="167" t="s">
        <v>189</v>
      </c>
      <c r="D136" s="168">
        <v>38.399683356522786</v>
      </c>
      <c r="E136" s="168"/>
      <c r="F136" s="80"/>
      <c r="G136" s="80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</row>
    <row r="137" spans="2:36" ht="18.75" hidden="1" customHeight="1" outlineLevel="1" x14ac:dyDescent="0.25">
      <c r="B137" s="32"/>
      <c r="C137" s="167" t="s">
        <v>190</v>
      </c>
      <c r="D137" s="168">
        <v>38.399683356522786</v>
      </c>
      <c r="E137" s="168"/>
      <c r="F137" s="80"/>
      <c r="G137" s="80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</row>
    <row r="138" spans="2:36" ht="15.75" customHeight="1" collapsed="1" x14ac:dyDescent="0.25">
      <c r="B138" s="32"/>
      <c r="C138" s="167" t="s">
        <v>177</v>
      </c>
      <c r="D138" s="171"/>
      <c r="E138" s="171"/>
      <c r="F138" s="89"/>
      <c r="G138" s="80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</row>
    <row r="139" spans="2:36" ht="15" hidden="1" customHeight="1" x14ac:dyDescent="0.25">
      <c r="B139" s="32"/>
      <c r="C139" s="167" t="s">
        <v>178</v>
      </c>
      <c r="D139" s="171">
        <v>0.15</v>
      </c>
      <c r="E139" s="171"/>
      <c r="F139" s="54"/>
      <c r="G139" s="55"/>
      <c r="H139" s="56"/>
      <c r="I139" s="56"/>
    </row>
    <row r="140" spans="2:36" ht="13.5" hidden="1" customHeight="1" x14ac:dyDescent="0.25">
      <c r="B140" s="32"/>
      <c r="C140" s="167" t="s">
        <v>179</v>
      </c>
      <c r="D140" s="171">
        <v>0</v>
      </c>
      <c r="E140" s="171"/>
      <c r="F140" s="54"/>
      <c r="G140" s="55"/>
      <c r="H140" s="56"/>
      <c r="I140" s="56"/>
    </row>
    <row r="141" spans="2:36" ht="13.5" hidden="1" customHeight="1" x14ac:dyDescent="0.25">
      <c r="B141" s="32"/>
      <c r="C141" s="167" t="s">
        <v>180</v>
      </c>
      <c r="D141" s="171">
        <v>0.25934499486516149</v>
      </c>
      <c r="E141" s="171"/>
      <c r="F141" s="54"/>
      <c r="G141" s="55"/>
      <c r="H141" s="56"/>
      <c r="I141" s="56"/>
    </row>
    <row r="142" spans="2:36" ht="13.5" hidden="1" customHeight="1" x14ac:dyDescent="0.25">
      <c r="B142" s="32"/>
      <c r="C142" s="167" t="s">
        <v>176</v>
      </c>
      <c r="D142" s="171">
        <f>SUM(D138:D141)</f>
        <v>0.40934499486516152</v>
      </c>
      <c r="E142" s="171"/>
      <c r="F142" s="54"/>
      <c r="G142" s="55"/>
      <c r="H142" s="56"/>
      <c r="I142" s="56"/>
    </row>
    <row r="143" spans="2:36" ht="13.5" hidden="1" customHeight="1" x14ac:dyDescent="0.25">
      <c r="B143" s="32"/>
      <c r="C143" s="167" t="s">
        <v>192</v>
      </c>
      <c r="D143" s="171">
        <v>-1</v>
      </c>
      <c r="E143" s="171"/>
      <c r="F143" s="54"/>
      <c r="G143" s="55"/>
      <c r="H143" s="56"/>
      <c r="I143" s="56"/>
    </row>
    <row r="144" spans="2:36" ht="13.5" hidden="1" customHeight="1" x14ac:dyDescent="0.25">
      <c r="B144" s="32"/>
      <c r="C144" s="167" t="s">
        <v>193</v>
      </c>
      <c r="D144" s="171">
        <v>-1</v>
      </c>
      <c r="E144" s="171"/>
      <c r="F144" s="54"/>
      <c r="G144" s="55"/>
      <c r="H144" s="56"/>
      <c r="I144" s="56"/>
    </row>
    <row r="145" spans="2:9" ht="13.5" hidden="1" customHeight="1" x14ac:dyDescent="0.25">
      <c r="B145" s="32"/>
      <c r="C145" s="167" t="s">
        <v>194</v>
      </c>
      <c r="D145" s="171">
        <v>-1</v>
      </c>
      <c r="E145" s="171"/>
      <c r="F145" s="54"/>
      <c r="G145" s="55"/>
      <c r="H145" s="56"/>
      <c r="I145" s="56"/>
    </row>
    <row r="146" spans="2:9" ht="13.5" hidden="1" customHeight="1" x14ac:dyDescent="0.25">
      <c r="B146" s="32"/>
      <c r="C146" s="167" t="s">
        <v>181</v>
      </c>
      <c r="D146" s="171">
        <v>42.510987370496032</v>
      </c>
      <c r="E146" s="171"/>
      <c r="F146" s="54"/>
      <c r="G146" s="55"/>
      <c r="H146" s="56"/>
      <c r="I146" s="56"/>
    </row>
    <row r="147" spans="2:9" ht="13.5" hidden="1" customHeight="1" x14ac:dyDescent="0.25">
      <c r="B147" s="32"/>
      <c r="C147" s="169" t="s">
        <v>148</v>
      </c>
      <c r="D147" s="170" t="str">
        <f>IF(AND(D151="",D149=""),D189,IF(AND(D151="",NOT(D149="")),D149,IF(AND(NOT(D151=""),D149=""),D153,D149)))</f>
        <v>QPSK 3/4 TPC</v>
      </c>
      <c r="E147" s="170"/>
      <c r="F147" s="54"/>
      <c r="G147" s="55"/>
      <c r="H147" s="56"/>
      <c r="I147" s="56"/>
    </row>
    <row r="148" spans="2:9" ht="13.5" hidden="1" customHeight="1" x14ac:dyDescent="0.25">
      <c r="B148" s="32"/>
      <c r="C148" s="169" t="s">
        <v>165</v>
      </c>
      <c r="D148" s="170" t="str">
        <f>IF(AND(D152="",D150=""),D189,IF(AND(D152="",NOT(D150="")),D150,IF(AND(NOT(D152=""),D150=""),D154,D150)))</f>
        <v>QPSK 3/4 TPC</v>
      </c>
      <c r="E148" s="170"/>
      <c r="F148" s="54"/>
      <c r="G148" s="55"/>
      <c r="H148" s="56"/>
      <c r="I148" s="56"/>
    </row>
    <row r="149" spans="2:9" ht="13.5" hidden="1" customHeight="1" x14ac:dyDescent="0.25">
      <c r="B149" s="32"/>
      <c r="C149" s="167" t="s">
        <v>166</v>
      </c>
      <c r="D149" s="168" t="s">
        <v>102</v>
      </c>
      <c r="E149" s="168"/>
      <c r="G149" s="55"/>
      <c r="H149" s="56"/>
      <c r="I149" s="56"/>
    </row>
    <row r="150" spans="2:9" ht="13.5" hidden="1" customHeight="1" x14ac:dyDescent="0.25">
      <c r="B150" s="32"/>
      <c r="C150" s="167" t="s">
        <v>167</v>
      </c>
      <c r="D150" s="168" t="s">
        <v>102</v>
      </c>
      <c r="E150" s="168"/>
      <c r="G150" s="55"/>
      <c r="H150" s="56"/>
      <c r="I150" s="56"/>
    </row>
    <row r="151" spans="2:9" ht="13.5" hidden="1" customHeight="1" x14ac:dyDescent="0.25">
      <c r="B151" s="32"/>
      <c r="C151" s="167" t="s">
        <v>169</v>
      </c>
      <c r="D151" s="168" t="s">
        <v>211</v>
      </c>
      <c r="E151" s="168"/>
      <c r="G151" s="55"/>
      <c r="H151"/>
      <c r="I151" s="56"/>
    </row>
    <row r="152" spans="2:9" ht="13.5" hidden="1" customHeight="1" x14ac:dyDescent="0.25">
      <c r="B152" s="32"/>
      <c r="C152" s="167" t="s">
        <v>168</v>
      </c>
      <c r="D152" s="168" t="s">
        <v>211</v>
      </c>
      <c r="E152" s="168"/>
      <c r="G152" s="55"/>
      <c r="H152"/>
      <c r="I152" s="56"/>
    </row>
    <row r="153" spans="2:9" ht="13.5" hidden="1" customHeight="1" x14ac:dyDescent="0.25">
      <c r="B153" s="32"/>
      <c r="C153" s="167" t="s">
        <v>183</v>
      </c>
      <c r="D153" s="168" t="str">
        <f>IFERROR(LEFT(D151,FIND("_[",D151)-1),"")</f>
        <v/>
      </c>
      <c r="E153" s="168"/>
      <c r="G153" s="55"/>
      <c r="H153"/>
      <c r="I153" s="56"/>
    </row>
    <row r="154" spans="2:9" ht="13.5" hidden="1" customHeight="1" x14ac:dyDescent="0.25">
      <c r="B154" s="32"/>
      <c r="C154" s="167" t="s">
        <v>184</v>
      </c>
      <c r="D154" s="168" t="str">
        <f>IFERROR(LEFT(D152,FIND("_[",D152)-1),"")</f>
        <v/>
      </c>
      <c r="E154" s="168"/>
      <c r="G154" s="55"/>
      <c r="H154"/>
      <c r="I154" s="56"/>
    </row>
    <row r="155" spans="2:9" ht="13.5" hidden="1" customHeight="1" x14ac:dyDescent="0.25">
      <c r="B155" s="32"/>
      <c r="C155" s="169" t="s">
        <v>153</v>
      </c>
      <c r="D155" s="170">
        <v>0.224</v>
      </c>
      <c r="E155" s="170"/>
      <c r="G155" s="55"/>
      <c r="H155"/>
      <c r="I155" s="56"/>
    </row>
    <row r="156" spans="2:9" ht="13.5" hidden="1" customHeight="1" x14ac:dyDescent="0.25">
      <c r="B156" s="32"/>
      <c r="C156" s="169" t="s">
        <v>154</v>
      </c>
      <c r="D156" s="170">
        <v>0.224</v>
      </c>
      <c r="E156" s="170"/>
      <c r="G156" s="55"/>
      <c r="H156"/>
      <c r="I156" s="56"/>
    </row>
    <row r="157" spans="2:9" ht="13.5" hidden="1" customHeight="1" x14ac:dyDescent="0.25">
      <c r="B157" s="32"/>
      <c r="C157" s="169" t="s">
        <v>157</v>
      </c>
      <c r="D157" s="170">
        <v>0.224</v>
      </c>
      <c r="E157" s="170"/>
      <c r="G157" s="55"/>
      <c r="H157" s="56"/>
      <c r="I157" s="56"/>
    </row>
    <row r="158" spans="2:9" ht="13.5" hidden="1" customHeight="1" x14ac:dyDescent="0.25">
      <c r="B158" s="32"/>
      <c r="C158" s="167" t="s">
        <v>80</v>
      </c>
      <c r="D158" s="168" t="s">
        <v>60</v>
      </c>
      <c r="E158" s="168"/>
      <c r="F158" s="62"/>
      <c r="G158" s="63"/>
      <c r="H158" s="55"/>
      <c r="I158" s="56"/>
    </row>
    <row r="159" spans="2:9" ht="13.5" hidden="1" customHeight="1" x14ac:dyDescent="0.25">
      <c r="B159" s="32"/>
      <c r="C159" s="167" t="s">
        <v>81</v>
      </c>
      <c r="D159" s="168" t="s">
        <v>6</v>
      </c>
      <c r="E159" s="168"/>
      <c r="F159" s="62"/>
      <c r="G159" s="63"/>
      <c r="H159" s="55"/>
      <c r="I159" s="56"/>
    </row>
    <row r="160" spans="2:9" ht="13.5" hidden="1" customHeight="1" x14ac:dyDescent="0.25">
      <c r="B160" s="32"/>
      <c r="C160" s="167" t="s">
        <v>82</v>
      </c>
      <c r="D160" s="168" t="s">
        <v>197</v>
      </c>
      <c r="E160" s="168"/>
      <c r="F160" s="62"/>
      <c r="G160" s="63"/>
      <c r="H160" s="55"/>
      <c r="I160" s="56"/>
    </row>
    <row r="161" spans="2:9" ht="13.5" hidden="1" customHeight="1" x14ac:dyDescent="0.25">
      <c r="B161" s="32"/>
      <c r="C161" s="167" t="s">
        <v>83</v>
      </c>
      <c r="D161" s="168" t="s">
        <v>215</v>
      </c>
      <c r="E161" s="168"/>
      <c r="F161" s="62"/>
      <c r="G161" s="63"/>
      <c r="H161" s="55"/>
      <c r="I161" s="56"/>
    </row>
    <row r="162" spans="2:9" ht="13.5" hidden="1" customHeight="1" x14ac:dyDescent="0.25">
      <c r="C162" s="167" t="s">
        <v>84</v>
      </c>
      <c r="D162" s="168" t="s">
        <v>117</v>
      </c>
      <c r="E162" s="168"/>
      <c r="F162" s="62"/>
      <c r="G162" s="63"/>
      <c r="H162" s="55"/>
      <c r="I162" s="56"/>
    </row>
    <row r="163" spans="2:9" ht="13.5" hidden="1" customHeight="1" x14ac:dyDescent="0.25">
      <c r="C163" s="167" t="s">
        <v>91</v>
      </c>
      <c r="D163" s="168" t="s">
        <v>220</v>
      </c>
      <c r="E163" s="168"/>
      <c r="F163" s="62"/>
      <c r="G163" s="63"/>
      <c r="H163" s="55"/>
      <c r="I163" s="56"/>
    </row>
    <row r="164" spans="2:9" ht="13.5" hidden="1" customHeight="1" x14ac:dyDescent="0.25">
      <c r="C164" s="167" t="s">
        <v>92</v>
      </c>
      <c r="D164" s="168" t="s">
        <v>117</v>
      </c>
      <c r="E164" s="168"/>
      <c r="F164" s="62"/>
      <c r="G164" s="63"/>
      <c r="H164" s="55"/>
      <c r="I164" s="56"/>
    </row>
    <row r="165" spans="2:9" ht="13.5" hidden="1" customHeight="1" x14ac:dyDescent="0.25">
      <c r="C165" s="167" t="s">
        <v>88</v>
      </c>
      <c r="D165" s="168" t="str">
        <f>IFERROR(IF(LOWER(D162)="yes","clear weather only",D172),"-")</f>
        <v>Yes</v>
      </c>
      <c r="E165" s="168"/>
      <c r="F165" s="62"/>
      <c r="G165" s="63"/>
      <c r="H165" s="55"/>
      <c r="I165" s="56"/>
    </row>
    <row r="166" spans="2:9" ht="12" hidden="1" customHeight="1" x14ac:dyDescent="0.25">
      <c r="C166" s="167" t="s">
        <v>93</v>
      </c>
      <c r="D166" s="168">
        <f>IFERROR(IF(LOWER(D162)="yes","clear weather only",D169),"-")</f>
        <v>99.900220308335577</v>
      </c>
      <c r="E166" s="168"/>
      <c r="F166" s="62"/>
      <c r="G166" s="63"/>
      <c r="H166" s="55"/>
      <c r="I166" s="56"/>
    </row>
    <row r="167" spans="2:9" ht="12" hidden="1" customHeight="1" x14ac:dyDescent="0.25">
      <c r="C167" s="167" t="s">
        <v>94</v>
      </c>
      <c r="D167" s="168">
        <f>IFERROR(IF(LOWER(D162)="yes","clear weather only",D170),"-")</f>
        <v>99.99985379841047</v>
      </c>
      <c r="E167" s="168"/>
      <c r="F167" s="62"/>
      <c r="G167" s="63"/>
      <c r="H167" s="55"/>
      <c r="I167" s="56"/>
    </row>
    <row r="168" spans="2:9" ht="12" hidden="1" customHeight="1" x14ac:dyDescent="0.25">
      <c r="C168" s="167" t="s">
        <v>89</v>
      </c>
      <c r="D168" s="168">
        <f>IFERROR(IF(LOWER(D162)="yes","clear weather only",D171),"-")</f>
        <v>99.900074252625544</v>
      </c>
      <c r="E168" s="168"/>
      <c r="F168" s="62"/>
      <c r="G168" s="63"/>
      <c r="H168" s="55"/>
      <c r="I168" s="56"/>
    </row>
    <row r="169" spans="2:9" ht="9.9" hidden="1" customHeight="1" x14ac:dyDescent="0.25">
      <c r="C169" s="167" t="s">
        <v>96</v>
      </c>
      <c r="D169" s="168">
        <v>99.900220308335577</v>
      </c>
      <c r="E169" s="168"/>
      <c r="F169" s="62"/>
      <c r="G169" s="63"/>
      <c r="I169" s="56"/>
    </row>
    <row r="170" spans="2:9" ht="9.9" hidden="1" customHeight="1" x14ac:dyDescent="0.25">
      <c r="C170" s="167" t="s">
        <v>95</v>
      </c>
      <c r="D170" s="168">
        <v>99.99985379841047</v>
      </c>
      <c r="E170" s="168"/>
      <c r="F170" s="62"/>
      <c r="G170" s="63"/>
      <c r="I170" s="56"/>
    </row>
    <row r="171" spans="2:9" ht="9.9" hidden="1" customHeight="1" x14ac:dyDescent="0.25">
      <c r="C171" s="167" t="s">
        <v>87</v>
      </c>
      <c r="D171" s="168">
        <v>99.900074252625544</v>
      </c>
      <c r="E171" s="168"/>
      <c r="F171" s="62"/>
      <c r="G171" s="63"/>
      <c r="I171" s="56"/>
    </row>
    <row r="172" spans="2:9" ht="9.9" hidden="1" customHeight="1" x14ac:dyDescent="0.25">
      <c r="C172" s="100" t="s">
        <v>86</v>
      </c>
      <c r="D172" s="168" t="s">
        <v>220</v>
      </c>
      <c r="E172" s="168"/>
      <c r="F172" s="62"/>
      <c r="G172" s="63"/>
      <c r="I172" s="56"/>
    </row>
    <row r="173" spans="2:9" hidden="1" x14ac:dyDescent="0.25">
      <c r="C173" s="100" t="s">
        <v>120</v>
      </c>
      <c r="D173" s="168">
        <v>99.9</v>
      </c>
      <c r="E173" s="168"/>
    </row>
    <row r="174" spans="2:9" hidden="1" x14ac:dyDescent="0.25">
      <c r="C174" s="167" t="s">
        <v>121</v>
      </c>
      <c r="D174" s="168">
        <f>IFERROR(IF(LOWER(D162)="yes","clear weather only",D173),"-")</f>
        <v>99.9</v>
      </c>
      <c r="E174" s="168"/>
    </row>
    <row r="175" spans="2:9" hidden="1" x14ac:dyDescent="0.25">
      <c r="C175" s="120" t="s">
        <v>155</v>
      </c>
      <c r="D175" s="171"/>
      <c r="E175" s="171"/>
    </row>
    <row r="176" spans="2:9" hidden="1" x14ac:dyDescent="0.25">
      <c r="C176" s="100" t="s">
        <v>116</v>
      </c>
      <c r="D176" s="171">
        <v>-34.609109175636434</v>
      </c>
      <c r="E176" s="171"/>
    </row>
    <row r="177" spans="3:5" hidden="1" x14ac:dyDescent="0.25">
      <c r="C177" s="100" t="s">
        <v>132</v>
      </c>
      <c r="D177" s="171">
        <v>-125.30902490283729</v>
      </c>
      <c r="E177" s="171"/>
    </row>
    <row r="178" spans="3:5" hidden="1" x14ac:dyDescent="0.25">
      <c r="C178" s="100" t="s">
        <v>133</v>
      </c>
      <c r="D178" s="171">
        <f>IFERROR(D177-10*LOG10(D74*1000000),"Not computed")</f>
        <v>-177.05059249562211</v>
      </c>
      <c r="E178" s="171"/>
    </row>
    <row r="179" spans="3:5" hidden="1" x14ac:dyDescent="0.25">
      <c r="C179" s="100" t="s">
        <v>170</v>
      </c>
      <c r="D179" s="168" t="s">
        <v>201</v>
      </c>
      <c r="E179" s="168"/>
    </row>
    <row r="180" spans="3:5" hidden="1" x14ac:dyDescent="0.25">
      <c r="C180" s="100" t="s">
        <v>171</v>
      </c>
      <c r="D180" s="168" t="s">
        <v>201</v>
      </c>
      <c r="E180" s="168"/>
    </row>
    <row r="181" spans="3:5" hidden="1" x14ac:dyDescent="0.25">
      <c r="C181" s="100" t="s">
        <v>172</v>
      </c>
      <c r="D181" s="168">
        <v>0.75</v>
      </c>
      <c r="E181" s="168"/>
    </row>
    <row r="182" spans="3:5" hidden="1" x14ac:dyDescent="0.25">
      <c r="C182" s="100" t="s">
        <v>173</v>
      </c>
      <c r="D182" s="168">
        <v>0.75</v>
      </c>
      <c r="E182" s="168"/>
    </row>
    <row r="183" spans="3:5" hidden="1" x14ac:dyDescent="0.25">
      <c r="C183" s="100" t="s">
        <v>159</v>
      </c>
      <c r="D183" s="168" t="str">
        <f>IF(D185&lt;&gt;"",D179&amp;" "&amp;D185,"")</f>
        <v>QPSK 3/41</v>
      </c>
      <c r="E183" s="168"/>
    </row>
    <row r="184" spans="3:5" hidden="1" x14ac:dyDescent="0.25">
      <c r="C184" s="100" t="s">
        <v>160</v>
      </c>
      <c r="D184" s="168" t="str">
        <f>IF(D186&lt;&gt;"",D180&amp;" "&amp;D186,"")</f>
        <v>QPSK 3/41</v>
      </c>
      <c r="E184" s="168"/>
    </row>
    <row r="185" spans="3:5" hidden="1" x14ac:dyDescent="0.25">
      <c r="C185" s="100" t="s">
        <v>161</v>
      </c>
      <c r="D185" s="168" t="str">
        <f>IF(AND(CODE(MID(D187,1,1))&gt;=47,CODE(MID(D187,1,1))&lt;=57),MID(D187,1,1),"")&amp;IF(AND(CODE(MID(D187,2,1))&gt;=47,CODE(MID(D187,2,1))&lt;=57),MID(D187,2,1),"")&amp;IF(AND(CODE(MID(D187,3,1))&gt;=47,CODE(MID(D187,3,1))&lt;=57),MID(D187,3,1),"")&amp;IF(AND(CODE(MID(D187,4,1))&gt;=47,CODE(MID(D187,4,1))&lt;=57),MID(D187,4,1),"")&amp;IF(AND(CODE(MID(D187,5,1))&gt;=47,CODE(MID(D187,5,1))&lt;=57),MID(D187,5,1),"")&amp;IF(AND(CODE(MID(D187,6,1))&gt;=47,CODE(MID(D187,6,1))&lt;=57),MID(D187,6,1),"")&amp;IF(AND(CODE(MID(D187,7,1))&gt;=47,CODE(MID(D187,7,1))&lt;=57),MID(D187,7,1),"")</f>
        <v>3/41</v>
      </c>
      <c r="E185" s="168"/>
    </row>
    <row r="186" spans="3:5" hidden="1" x14ac:dyDescent="0.25">
      <c r="C186" s="100" t="s">
        <v>162</v>
      </c>
      <c r="D186" s="168" t="str">
        <f>IF(AND(CODE(MID(D188,1,1))&gt;=47,CODE(MID(D188,1,1))&lt;=57),MID(D188,1,1),"")&amp;IF(AND(CODE(MID(D188,2,1))&gt;=47,CODE(MID(D188,2,1))&lt;=57),MID(D188,2,1),"")&amp;IF(AND(CODE(MID(D188,3,1))&gt;=47,CODE(MID(D188,3,1))&lt;=57),MID(D188,3,1),"")&amp;IF(AND(CODE(MID(D188,4,1))&gt;=47,CODE(MID(D188,4,1))&lt;=57),MID(D188,4,1),"")&amp;IF(AND(CODE(MID(D188,5,1))&gt;=47,CODE(MID(D188,5,1))&lt;=57),MID(D188,5,1),"")&amp;IF(AND(CODE(MID(D188,6,1))&gt;=47,CODE(MID(D188,6,1))&lt;=57),MID(D188,6,1),"")&amp;IF(AND(CODE(MID(D188,7,1))&gt;=47,CODE(MID(D188,7,1))&lt;=57),MID(D188,7,1),"")</f>
        <v>3/41</v>
      </c>
      <c r="E186" s="168"/>
    </row>
    <row r="187" spans="3:5" hidden="1" x14ac:dyDescent="0.25">
      <c r="C187" s="100" t="s">
        <v>163</v>
      </c>
      <c r="D187" s="168" t="str">
        <f>IF(AND(ISERROR(FIND("/",D151)),LEN(D151)&gt;7),"",MID(D151,FIND("/",D151,1)-ROUNDDOWN(7/2,0),7))</f>
        <v>o_3/4_1</v>
      </c>
      <c r="E187" s="168"/>
    </row>
    <row r="188" spans="3:5" hidden="1" x14ac:dyDescent="0.25">
      <c r="C188" s="100" t="s">
        <v>164</v>
      </c>
      <c r="D188" s="168" t="str">
        <f>IF(AND(ISERROR(FIND("/",D152)),LEN(D152)&gt;7),"",MID(D152,FIND("/",D152,1)-ROUNDDOWN(7/2,0),7))</f>
        <v>o_3/4_1</v>
      </c>
      <c r="E188" s="168"/>
    </row>
    <row r="189" spans="3:5" hidden="1" x14ac:dyDescent="0.25">
      <c r="C189" s="22" t="s">
        <v>174</v>
      </c>
      <c r="D189" s="172" t="str">
        <f>D179&amp;"_"&amp;TEXT(ROUND(D181,3),"0.000")</f>
        <v>QPSK_0.750</v>
      </c>
      <c r="E189" s="172"/>
    </row>
    <row r="190" spans="3:5" hidden="1" x14ac:dyDescent="0.25">
      <c r="C190" s="22" t="s">
        <v>187</v>
      </c>
      <c r="D190" s="171" t="s">
        <v>117</v>
      </c>
      <c r="E190" s="171"/>
    </row>
    <row r="191" spans="3:5" hidden="1" x14ac:dyDescent="0.25">
      <c r="D191" s="171" t="s">
        <v>117</v>
      </c>
      <c r="E191" s="171"/>
    </row>
    <row r="192" spans="3:5" hidden="1" x14ac:dyDescent="0.25">
      <c r="D192" s="171" t="s">
        <v>117</v>
      </c>
      <c r="E192" s="171"/>
    </row>
    <row r="193" spans="2:5" hidden="1" x14ac:dyDescent="0.25">
      <c r="D193" s="171" t="s">
        <v>117</v>
      </c>
      <c r="E193" s="171"/>
    </row>
    <row r="194" spans="2:5" hidden="1" x14ac:dyDescent="0.25">
      <c r="D194" s="171" t="s">
        <v>117</v>
      </c>
      <c r="E194" s="171"/>
    </row>
    <row r="195" spans="2:5" hidden="1" x14ac:dyDescent="0.25">
      <c r="D195" s="171" t="s">
        <v>117</v>
      </c>
      <c r="E195" s="171"/>
    </row>
    <row r="196" spans="2:5" hidden="1" x14ac:dyDescent="0.25">
      <c r="D196" s="171" t="s">
        <v>117</v>
      </c>
      <c r="E196" s="171"/>
    </row>
    <row r="197" spans="2:5" hidden="1" x14ac:dyDescent="0.25">
      <c r="D197" s="171" t="s">
        <v>117</v>
      </c>
      <c r="E197" s="171"/>
    </row>
    <row r="198" spans="2:5" hidden="1" x14ac:dyDescent="0.25">
      <c r="D198" s="171" t="s">
        <v>117</v>
      </c>
      <c r="E198" s="171"/>
    </row>
    <row r="199" spans="2:5" hidden="1" x14ac:dyDescent="0.25">
      <c r="D199" s="171" t="s">
        <v>117</v>
      </c>
      <c r="E199" s="171"/>
    </row>
    <row r="200" spans="2:5" hidden="1" x14ac:dyDescent="0.25">
      <c r="D200" s="171"/>
      <c r="E200" s="171"/>
    </row>
    <row r="201" spans="2:5" hidden="1" x14ac:dyDescent="0.25">
      <c r="D201" s="171"/>
      <c r="E201" s="171"/>
    </row>
    <row r="202" spans="2:5" hidden="1" x14ac:dyDescent="0.25">
      <c r="D202" s="171"/>
      <c r="E202" s="171"/>
    </row>
    <row r="203" spans="2:5" hidden="1" x14ac:dyDescent="0.25">
      <c r="D203" s="171"/>
      <c r="E203" s="171"/>
    </row>
    <row r="204" spans="2:5" hidden="1" x14ac:dyDescent="0.25">
      <c r="B204" s="179"/>
      <c r="C204" s="180" t="s">
        <v>188</v>
      </c>
      <c r="D204" s="111" t="str">
        <f>IFERROR(CHOOSE(MATCH("Yes",D190:D199,0),"UL EIRP of "&amp;TEXT(D200,"0.00"),"HPA SIZE of "&amp;TEXT(D201,"0.0"),"ITU UL LIMITS","ITU DL LIMITS","FCC UL LIMITS","FCC DL LIMITS","PROJECT COORD CONSTRAINT","PRODUCT PATTERN PSD","C.SKY TPUT. of "&amp;TEXT(D202,"0.00"),"TPUT under FADE of "&amp;TEXT(D203,"0.00")),"Not Defined")</f>
        <v>Not Defined</v>
      </c>
      <c r="E204" s="111"/>
    </row>
    <row r="205" spans="2:5" hidden="1" x14ac:dyDescent="0.25">
      <c r="B205" s="179"/>
      <c r="C205" s="180" t="s">
        <v>223</v>
      </c>
      <c r="D205" s="111" t="s">
        <v>206</v>
      </c>
      <c r="E205" s="111"/>
    </row>
    <row r="206" spans="2:5" hidden="1" x14ac:dyDescent="0.25">
      <c r="B206" s="179"/>
      <c r="C206" s="180" t="s">
        <v>224</v>
      </c>
      <c r="D206" s="111"/>
      <c r="E206" s="111"/>
    </row>
    <row r="207" spans="2:5" hidden="1" x14ac:dyDescent="0.25">
      <c r="B207" s="179"/>
      <c r="C207" s="180" t="s">
        <v>225</v>
      </c>
      <c r="D207" s="111" t="s">
        <v>206</v>
      </c>
      <c r="E207" s="111"/>
    </row>
    <row r="208" spans="2:5" hidden="1" x14ac:dyDescent="0.25">
      <c r="B208" s="179"/>
      <c r="C208" s="180" t="s">
        <v>226</v>
      </c>
      <c r="D208" s="111"/>
      <c r="E208" s="111"/>
    </row>
    <row r="209" spans="2:5" hidden="1" x14ac:dyDescent="0.25">
      <c r="B209" s="179"/>
      <c r="C209" s="180" t="s">
        <v>230</v>
      </c>
      <c r="D209" s="111">
        <v>2.4</v>
      </c>
      <c r="E209" s="111"/>
    </row>
    <row r="210" spans="2:5" hidden="1" x14ac:dyDescent="0.25">
      <c r="B210" s="179"/>
      <c r="C210" s="180" t="s">
        <v>210</v>
      </c>
      <c r="D210" s="111">
        <v>1</v>
      </c>
      <c r="E210" s="111"/>
    </row>
    <row r="211" spans="2:5" hidden="1" x14ac:dyDescent="0.25">
      <c r="B211" s="179"/>
      <c r="C211" s="180" t="s">
        <v>202</v>
      </c>
      <c r="D211" s="111">
        <v>37.629130926842819</v>
      </c>
      <c r="E211" s="111"/>
    </row>
    <row r="212" spans="2:5" hidden="1" x14ac:dyDescent="0.25">
      <c r="B212" s="179"/>
      <c r="C212" s="180" t="s">
        <v>209</v>
      </c>
      <c r="D212" s="111"/>
      <c r="E212" s="111"/>
    </row>
    <row r="213" spans="2:5" hidden="1" x14ac:dyDescent="0.25">
      <c r="B213" s="179"/>
      <c r="C213" s="180" t="s">
        <v>200</v>
      </c>
      <c r="D213" s="111">
        <f>SIGN(D$55)*ABS(IFERROR(DEGREES(ATAN(-_xlfn.COT(RADIANS(D$55))*SIN(RADIANS($D$19-D$56)))),""))</f>
        <v>37.808112072453696</v>
      </c>
      <c r="E213" s="111"/>
    </row>
    <row r="214" spans="2:5" hidden="1" x14ac:dyDescent="0.25">
      <c r="B214" s="179"/>
      <c r="C214" s="180" t="s">
        <v>213</v>
      </c>
      <c r="D214" s="111" t="b">
        <v>0</v>
      </c>
      <c r="E214" s="111"/>
    </row>
    <row r="215" spans="2:5" hidden="1" x14ac:dyDescent="0.25">
      <c r="B215" s="179"/>
      <c r="C215" s="180" t="s">
        <v>219</v>
      </c>
      <c r="D215" s="111"/>
      <c r="E215" s="111"/>
    </row>
    <row r="216" spans="2:5" hidden="1" x14ac:dyDescent="0.25">
      <c r="B216" s="179"/>
      <c r="C216" s="181" t="s">
        <v>216</v>
      </c>
      <c r="D216" s="182" t="str">
        <f>IF(D$210=1,ROUND(D$213,2)&amp;"˚ (Circular)",IF(D$214,ROUND(D$213,2)&amp;"˚ (Aligned with GSO arc)",IF(D$215&lt;&gt;"",ROUND(D$211+D$215,2)&amp;"˚ ("&amp;ROUND(D$211,1)&amp;"˚ leftover impact)",ROUND(D$211,2))))</f>
        <v>37.81˚ (Circular)</v>
      </c>
      <c r="E216" s="182"/>
    </row>
    <row r="217" spans="2:5" hidden="1" x14ac:dyDescent="0.25">
      <c r="B217" s="179"/>
      <c r="C217" s="181" t="s">
        <v>235</v>
      </c>
      <c r="D217" s="182">
        <v>42.510987370496032</v>
      </c>
      <c r="E217" s="182"/>
    </row>
    <row r="218" spans="2:5" hidden="1" x14ac:dyDescent="0.25">
      <c r="B218" s="179"/>
      <c r="C218" s="181" t="s">
        <v>236</v>
      </c>
      <c r="D218" s="182">
        <v>42.510987370496032</v>
      </c>
      <c r="E218" s="182"/>
    </row>
    <row r="219" spans="2:5" hidden="1" x14ac:dyDescent="0.25">
      <c r="B219" s="179"/>
      <c r="C219" s="181" t="s">
        <v>229</v>
      </c>
      <c r="D219" s="183">
        <v>11</v>
      </c>
      <c r="E219" s="183"/>
    </row>
    <row r="220" spans="2:5" hidden="1" x14ac:dyDescent="0.25">
      <c r="B220" s="179"/>
      <c r="C220" s="180" t="s">
        <v>212</v>
      </c>
      <c r="D220" s="111">
        <v>1</v>
      </c>
      <c r="E220" s="111"/>
    </row>
    <row r="221" spans="2:5" hidden="1" x14ac:dyDescent="0.25">
      <c r="B221" s="179"/>
      <c r="C221" s="180" t="s">
        <v>203</v>
      </c>
      <c r="D221" s="111">
        <v>11.791433303673996</v>
      </c>
      <c r="E221" s="111"/>
    </row>
    <row r="222" spans="2:5" hidden="1" x14ac:dyDescent="0.25">
      <c r="B222" s="179"/>
      <c r="C222" s="180" t="s">
        <v>204</v>
      </c>
      <c r="D222" s="111" t="e">
        <f>SIGN(#REF!)*ABS(IFERROR(DEGREES(ATAN(-_xlfn.COT(RADIANS(#REF!))*SIN(RADIANS($D$19-#REF!)))),""))</f>
        <v>#REF!</v>
      </c>
      <c r="E222" s="111"/>
    </row>
    <row r="223" spans="2:5" hidden="1" x14ac:dyDescent="0.25">
      <c r="B223" s="179"/>
      <c r="C223" s="180" t="s">
        <v>208</v>
      </c>
      <c r="D223" s="111"/>
      <c r="E223" s="111"/>
    </row>
    <row r="224" spans="2:5" hidden="1" x14ac:dyDescent="0.25">
      <c r="B224" s="179"/>
      <c r="C224" s="180" t="s">
        <v>214</v>
      </c>
      <c r="D224" s="111" t="b">
        <v>0</v>
      </c>
      <c r="E224" s="111"/>
    </row>
    <row r="225" spans="2:5" hidden="1" x14ac:dyDescent="0.25">
      <c r="B225" s="179"/>
      <c r="C225" s="180" t="s">
        <v>218</v>
      </c>
      <c r="D225" s="111"/>
      <c r="E225" s="111"/>
    </row>
    <row r="226" spans="2:5" hidden="1" x14ac:dyDescent="0.25">
      <c r="B226" s="179"/>
      <c r="C226" s="181" t="s">
        <v>217</v>
      </c>
      <c r="D226" s="182" t="e">
        <f>IF(D$220=1,ROUND(D$222,2)&amp;"˚ (Circular)",IF(D$224,ROUND(D$222,2)&amp;"˚ (Aligned with GSO arc)",IF(D$225&lt;&gt;"",ROUND(D$221+D$225,2)&amp;" ("&amp;ROUND(D$221,1)&amp;"˚ leftover impact)",ROUND(D$221,2))))</f>
        <v>#REF!</v>
      </c>
      <c r="E226" s="182"/>
    </row>
    <row r="227" spans="2:5" hidden="1" x14ac:dyDescent="0.25">
      <c r="B227" s="179"/>
      <c r="C227" s="181" t="s">
        <v>233</v>
      </c>
      <c r="D227" s="182">
        <v>52.281900772068909</v>
      </c>
      <c r="E227" s="182"/>
    </row>
    <row r="228" spans="2:5" hidden="1" x14ac:dyDescent="0.25">
      <c r="B228" s="179"/>
      <c r="C228" s="181" t="s">
        <v>234</v>
      </c>
      <c r="D228" s="182">
        <v>52.281900772068909</v>
      </c>
      <c r="E228" s="182"/>
    </row>
    <row r="229" spans="2:5" hidden="1" x14ac:dyDescent="0.25">
      <c r="C229" s="101" t="s">
        <v>90</v>
      </c>
      <c r="D229" s="111"/>
      <c r="E229" s="111"/>
    </row>
    <row r="230" spans="2:5" hidden="1" x14ac:dyDescent="0.25">
      <c r="D230" s="173"/>
      <c r="E230" s="174"/>
    </row>
    <row r="231" spans="2:5" hidden="1" x14ac:dyDescent="0.25">
      <c r="D231" s="173"/>
      <c r="E231" s="174"/>
    </row>
    <row r="232" spans="2:5" hidden="1" x14ac:dyDescent="0.25">
      <c r="D232" s="173"/>
      <c r="E232" s="174"/>
    </row>
    <row r="233" spans="2:5" hidden="1" x14ac:dyDescent="0.25">
      <c r="D233" s="173"/>
      <c r="E233" s="174"/>
    </row>
    <row r="234" spans="2:5" hidden="1" x14ac:dyDescent="0.25">
      <c r="C234" s="5"/>
      <c r="D234" s="173"/>
      <c r="E234" s="174"/>
    </row>
    <row r="235" spans="2:5" hidden="1" x14ac:dyDescent="0.25">
      <c r="C235" s="5"/>
      <c r="D235" s="173"/>
      <c r="E235" s="174"/>
    </row>
    <row r="236" spans="2:5" hidden="1" x14ac:dyDescent="0.25">
      <c r="C236" s="5"/>
      <c r="D236" s="173"/>
      <c r="E236" s="174"/>
    </row>
    <row r="237" spans="2:5" hidden="1" x14ac:dyDescent="0.25">
      <c r="C237" s="5"/>
      <c r="D237" s="173"/>
      <c r="E237" s="174"/>
    </row>
    <row r="238" spans="2:5" hidden="1" x14ac:dyDescent="0.25">
      <c r="C238" s="5"/>
      <c r="D238" s="173"/>
      <c r="E238" s="174"/>
    </row>
    <row r="239" spans="2:5" hidden="1" x14ac:dyDescent="0.25">
      <c r="C239" s="5"/>
      <c r="D239" s="173"/>
      <c r="E239" s="174"/>
    </row>
    <row r="240" spans="2:5" hidden="1" x14ac:dyDescent="0.25">
      <c r="C240" s="5"/>
      <c r="D240" s="173"/>
      <c r="E240" s="174"/>
    </row>
    <row r="241" spans="3:4" x14ac:dyDescent="0.25">
      <c r="C241" s="5"/>
      <c r="D241" s="175"/>
    </row>
    <row r="242" spans="3:4" x14ac:dyDescent="0.25">
      <c r="C242" s="5"/>
      <c r="D242" s="173"/>
    </row>
    <row r="243" spans="3:4" x14ac:dyDescent="0.25">
      <c r="C243" s="5"/>
      <c r="D243" s="173"/>
    </row>
    <row r="244" spans="3:4" x14ac:dyDescent="0.25">
      <c r="C244" s="5"/>
    </row>
    <row r="245" spans="3:4" x14ac:dyDescent="0.25">
      <c r="C245" s="5"/>
    </row>
    <row r="246" spans="3:4" x14ac:dyDescent="0.25">
      <c r="C246" s="5"/>
    </row>
    <row r="247" spans="3:4" x14ac:dyDescent="0.25">
      <c r="C247" s="5"/>
    </row>
  </sheetData>
  <conditionalFormatting sqref="D69:E69">
    <cfRule type="expression" dxfId="8" priority="22">
      <formula>#REF!&lt;0</formula>
    </cfRule>
  </conditionalFormatting>
  <conditionalFormatting sqref="D83:E83 F94">
    <cfRule type="cellIs" dxfId="7" priority="1" operator="equal">
      <formula>"Yes"</formula>
    </cfRule>
  </conditionalFormatting>
  <conditionalFormatting sqref="D105:E106 D108:E108">
    <cfRule type="expression" dxfId="6" priority="26">
      <formula>D105=MIN(#REF!)</formula>
    </cfRule>
  </conditionalFormatting>
  <conditionalFormatting sqref="D38:F38">
    <cfRule type="cellIs" dxfId="5" priority="15" operator="equal">
      <formula>"No"</formula>
    </cfRule>
  </conditionalFormatting>
  <conditionalFormatting sqref="D39:F39 D110:E110 F121">
    <cfRule type="expression" dxfId="4" priority="17">
      <formula>D39&lt;0</formula>
    </cfRule>
  </conditionalFormatting>
  <conditionalFormatting sqref="D42:F42">
    <cfRule type="cellIs" dxfId="3" priority="20" operator="equal">
      <formula>"No"</formula>
    </cfRule>
  </conditionalFormatting>
  <conditionalFormatting sqref="D46:F46">
    <cfRule type="cellIs" dxfId="2" priority="5" operator="equal">
      <formula>"Fail"</formula>
    </cfRule>
  </conditionalFormatting>
  <conditionalFormatting sqref="F80">
    <cfRule type="expression" dxfId="1" priority="6">
      <formula>#REF!&lt;0</formula>
    </cfRule>
  </conditionalFormatting>
  <conditionalFormatting sqref="F102:F110 F116:F117 F119">
    <cfRule type="expression" dxfId="0" priority="28">
      <formula>F102=MIN(F$102:F$109)</formula>
    </cfRule>
  </conditionalFormatting>
  <pageMargins left="0.75" right="0.75" top="0.75" bottom="1.6" header="0.5" footer="0.5"/>
  <pageSetup scale="50" orientation="portrait" r:id="rId1"/>
  <headerFooter>
    <oddHeader>&amp;C&amp;"Arial"&amp;B&amp;12SES LINK BUDGET ANALYSIS</oddHeader>
    <oddFooter>&amp;L&amp;A&amp;C&amp;"Arial"&amp;11&amp;K000000DISCLAIMER: The information provided herein is for informational purposes only and does not represent a performance obligation or liability on SES or any of its affiliates.&amp;RPage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R111"/>
  <sheetViews>
    <sheetView topLeftCell="F1" workbookViewId="0">
      <selection activeCell="B1" sqref="B1"/>
    </sheetView>
  </sheetViews>
  <sheetFormatPr defaultColWidth="0" defaultRowHeight="13.2" zeroHeight="1" x14ac:dyDescent="0.25"/>
  <cols>
    <col min="1" max="1" width="10.33203125" style="41" hidden="1" customWidth="1"/>
    <col min="2" max="2" width="17.33203125" style="41" hidden="1" customWidth="1"/>
    <col min="3" max="3" width="20.88671875" style="41" hidden="1" customWidth="1"/>
    <col min="4" max="4" width="22.44140625" style="41" hidden="1" customWidth="1"/>
    <col min="5" max="5" width="0" style="41" hidden="1" customWidth="1"/>
    <col min="6" max="6" width="5" style="41" customWidth="1"/>
    <col min="7" max="43" width="9.109375" style="41" customWidth="1"/>
    <col min="44" max="44" width="4.33203125" style="41" customWidth="1"/>
    <col min="45" max="16384" width="9.109375" style="41" hidden="1"/>
  </cols>
  <sheetData>
    <row r="1" spans="2:44" x14ac:dyDescent="0.25">
      <c r="B1" s="41" t="s">
        <v>31</v>
      </c>
      <c r="C1" s="41" t="s">
        <v>32</v>
      </c>
      <c r="D1" s="41" t="s">
        <v>33</v>
      </c>
      <c r="F1" s="93"/>
      <c r="G1" s="146" t="s">
        <v>35</v>
      </c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  <c r="AM1" s="146"/>
      <c r="AN1" s="146"/>
      <c r="AO1" s="146"/>
      <c r="AP1" s="146"/>
      <c r="AQ1" s="146"/>
      <c r="AR1" s="93"/>
    </row>
    <row r="2" spans="2:44" x14ac:dyDescent="0.25">
      <c r="B2" s="42" t="s">
        <v>34</v>
      </c>
      <c r="C2" s="42" t="s">
        <v>35</v>
      </c>
      <c r="D2" s="44">
        <v>2000</v>
      </c>
      <c r="F2" s="93"/>
      <c r="G2" s="146"/>
      <c r="H2" s="147" t="s">
        <v>34</v>
      </c>
      <c r="I2" s="148">
        <v>2000</v>
      </c>
      <c r="J2" s="148">
        <v>1000</v>
      </c>
      <c r="K2" s="148">
        <v>800</v>
      </c>
      <c r="L2" s="148">
        <v>700</v>
      </c>
      <c r="M2" s="148">
        <v>600</v>
      </c>
      <c r="N2" s="148">
        <v>400</v>
      </c>
      <c r="O2" s="148">
        <v>250</v>
      </c>
      <c r="P2" s="148">
        <v>240</v>
      </c>
      <c r="Q2" s="148">
        <v>200</v>
      </c>
      <c r="R2" s="148">
        <v>150</v>
      </c>
      <c r="S2" s="148">
        <v>125</v>
      </c>
      <c r="T2" s="148">
        <v>120</v>
      </c>
      <c r="U2" s="148">
        <v>100</v>
      </c>
      <c r="V2" s="148">
        <v>80</v>
      </c>
      <c r="W2" s="148">
        <v>75</v>
      </c>
      <c r="X2" s="148">
        <v>60</v>
      </c>
      <c r="Y2" s="148">
        <v>50</v>
      </c>
      <c r="Z2" s="148">
        <v>40</v>
      </c>
      <c r="AA2" s="148">
        <v>30</v>
      </c>
      <c r="AB2" s="148">
        <v>25</v>
      </c>
      <c r="AC2" s="148">
        <v>20</v>
      </c>
      <c r="AD2" s="148">
        <v>16</v>
      </c>
      <c r="AE2" s="148">
        <v>10</v>
      </c>
      <c r="AF2" s="148">
        <v>8</v>
      </c>
      <c r="AG2" s="148">
        <v>5</v>
      </c>
      <c r="AH2" s="148">
        <v>4</v>
      </c>
      <c r="AI2" s="148">
        <v>3</v>
      </c>
      <c r="AJ2" s="148">
        <v>2</v>
      </c>
      <c r="AK2" s="148">
        <v>1</v>
      </c>
      <c r="AL2" s="148"/>
      <c r="AM2" s="148"/>
      <c r="AN2" s="148"/>
      <c r="AO2" s="148"/>
      <c r="AP2" s="148"/>
      <c r="AQ2" s="148"/>
      <c r="AR2" s="93"/>
    </row>
    <row r="3" spans="2:44" x14ac:dyDescent="0.25">
      <c r="B3" s="42" t="s">
        <v>34</v>
      </c>
      <c r="C3" s="42" t="s">
        <v>35</v>
      </c>
      <c r="D3" s="44">
        <v>800</v>
      </c>
      <c r="F3" s="93"/>
      <c r="G3" s="146"/>
      <c r="H3" s="149" t="s">
        <v>138</v>
      </c>
      <c r="I3" s="150">
        <v>2000</v>
      </c>
      <c r="J3" s="150">
        <v>1000</v>
      </c>
      <c r="K3" s="150">
        <v>800</v>
      </c>
      <c r="L3" s="150">
        <v>700</v>
      </c>
      <c r="M3" s="150">
        <v>600</v>
      </c>
      <c r="N3" s="150">
        <v>400</v>
      </c>
      <c r="O3" s="150">
        <v>250</v>
      </c>
      <c r="P3" s="150">
        <v>240</v>
      </c>
      <c r="Q3" s="150">
        <v>200</v>
      </c>
      <c r="R3" s="150">
        <v>150</v>
      </c>
      <c r="S3" s="150">
        <v>125</v>
      </c>
      <c r="T3" s="150">
        <v>120</v>
      </c>
      <c r="U3" s="150">
        <v>100</v>
      </c>
      <c r="V3" s="150">
        <v>80</v>
      </c>
      <c r="W3" s="150">
        <v>75</v>
      </c>
      <c r="X3" s="150">
        <v>60</v>
      </c>
      <c r="Y3" s="150">
        <v>50</v>
      </c>
      <c r="Z3" s="150">
        <v>40</v>
      </c>
      <c r="AA3" s="150">
        <v>30</v>
      </c>
      <c r="AB3" s="150">
        <v>25</v>
      </c>
      <c r="AC3" s="150">
        <v>20</v>
      </c>
      <c r="AD3" s="150">
        <v>16</v>
      </c>
      <c r="AE3" s="150">
        <v>10</v>
      </c>
      <c r="AF3" s="150">
        <v>8</v>
      </c>
      <c r="AG3" s="150">
        <v>5</v>
      </c>
      <c r="AH3" s="150">
        <v>4</v>
      </c>
      <c r="AI3" s="150">
        <v>3</v>
      </c>
      <c r="AJ3" s="150">
        <v>2</v>
      </c>
      <c r="AK3" s="150">
        <v>1</v>
      </c>
      <c r="AL3" s="150"/>
      <c r="AM3" s="150"/>
      <c r="AN3" s="150"/>
      <c r="AO3" s="150"/>
      <c r="AP3" s="150"/>
      <c r="AQ3" s="150"/>
      <c r="AR3" s="93"/>
    </row>
    <row r="4" spans="2:44" x14ac:dyDescent="0.25">
      <c r="B4" s="42" t="s">
        <v>34</v>
      </c>
      <c r="C4" s="42" t="s">
        <v>35</v>
      </c>
      <c r="D4" s="44">
        <v>700</v>
      </c>
      <c r="F4" s="93"/>
      <c r="G4" s="146"/>
      <c r="H4" s="149" t="s">
        <v>137</v>
      </c>
      <c r="I4" s="150">
        <v>2000</v>
      </c>
      <c r="J4" s="150">
        <v>1000</v>
      </c>
      <c r="K4" s="150">
        <v>800</v>
      </c>
      <c r="L4" s="150">
        <v>700</v>
      </c>
      <c r="M4" s="150">
        <v>600</v>
      </c>
      <c r="N4" s="150">
        <v>400</v>
      </c>
      <c r="O4" s="150">
        <v>250</v>
      </c>
      <c r="P4" s="150">
        <v>240</v>
      </c>
      <c r="Q4" s="150">
        <v>200</v>
      </c>
      <c r="R4" s="150">
        <v>150</v>
      </c>
      <c r="S4" s="150">
        <v>125</v>
      </c>
      <c r="T4" s="150">
        <v>120</v>
      </c>
      <c r="U4" s="150">
        <v>100</v>
      </c>
      <c r="V4" s="150">
        <v>80</v>
      </c>
      <c r="W4" s="150">
        <v>75</v>
      </c>
      <c r="X4" s="150">
        <v>60</v>
      </c>
      <c r="Y4" s="150">
        <v>50</v>
      </c>
      <c r="Z4" s="150">
        <v>40</v>
      </c>
      <c r="AA4" s="150">
        <v>30</v>
      </c>
      <c r="AB4" s="150">
        <v>25</v>
      </c>
      <c r="AC4" s="150">
        <v>20</v>
      </c>
      <c r="AD4" s="150">
        <v>16</v>
      </c>
      <c r="AE4" s="150">
        <v>10</v>
      </c>
      <c r="AF4" s="150">
        <v>8</v>
      </c>
      <c r="AG4" s="150">
        <v>5</v>
      </c>
      <c r="AH4" s="150">
        <v>4</v>
      </c>
      <c r="AI4" s="150">
        <v>3</v>
      </c>
      <c r="AJ4" s="150">
        <v>2</v>
      </c>
      <c r="AK4" s="150">
        <v>1</v>
      </c>
      <c r="AL4" s="150"/>
      <c r="AM4" s="150"/>
      <c r="AN4" s="150"/>
      <c r="AO4" s="150"/>
      <c r="AP4" s="150"/>
      <c r="AQ4" s="150"/>
      <c r="AR4" s="93"/>
    </row>
    <row r="5" spans="2:44" x14ac:dyDescent="0.25">
      <c r="B5" s="42" t="s">
        <v>34</v>
      </c>
      <c r="C5" s="42" t="s">
        <v>35</v>
      </c>
      <c r="D5" s="44">
        <v>400</v>
      </c>
      <c r="F5" s="93"/>
      <c r="G5" s="146"/>
      <c r="H5" s="149" t="s">
        <v>38</v>
      </c>
      <c r="I5" s="150">
        <v>3000</v>
      </c>
      <c r="J5" s="146">
        <v>2250</v>
      </c>
      <c r="K5" s="150">
        <v>2000</v>
      </c>
      <c r="L5" s="146">
        <v>1000</v>
      </c>
      <c r="M5" s="150">
        <v>750</v>
      </c>
      <c r="N5" s="150">
        <v>400</v>
      </c>
      <c r="O5" s="150">
        <v>325</v>
      </c>
      <c r="P5" s="146"/>
      <c r="Q5" s="150"/>
      <c r="R5" s="146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46"/>
      <c r="AK5" s="146"/>
      <c r="AL5" s="146"/>
      <c r="AM5" s="146"/>
      <c r="AN5" s="146"/>
      <c r="AO5" s="146"/>
      <c r="AP5" s="146"/>
      <c r="AQ5" s="146"/>
      <c r="AR5" s="93"/>
    </row>
    <row r="6" spans="2:44" ht="13.5" customHeight="1" x14ac:dyDescent="0.25">
      <c r="B6" s="42" t="s">
        <v>34</v>
      </c>
      <c r="C6" s="42" t="s">
        <v>35</v>
      </c>
      <c r="D6" s="44">
        <v>240</v>
      </c>
      <c r="F6" s="93"/>
      <c r="G6" s="146"/>
      <c r="H6" s="149" t="s">
        <v>73</v>
      </c>
      <c r="I6" s="150">
        <v>3000</v>
      </c>
      <c r="J6" s="146">
        <v>2250</v>
      </c>
      <c r="K6" s="150">
        <v>2000</v>
      </c>
      <c r="L6" s="146">
        <v>1000</v>
      </c>
      <c r="M6" s="150">
        <v>750</v>
      </c>
      <c r="N6" s="150">
        <v>400</v>
      </c>
      <c r="O6" s="146">
        <v>325</v>
      </c>
      <c r="P6" s="146"/>
      <c r="Q6" s="150"/>
      <c r="R6" s="146"/>
      <c r="S6" s="150"/>
      <c r="T6" s="150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93"/>
    </row>
    <row r="7" spans="2:44" x14ac:dyDescent="0.25">
      <c r="B7" s="43" t="s">
        <v>34</v>
      </c>
      <c r="C7" s="43" t="s">
        <v>35</v>
      </c>
      <c r="D7" s="44">
        <v>200</v>
      </c>
      <c r="F7" s="93"/>
      <c r="G7" s="146"/>
      <c r="H7" s="149" t="s">
        <v>72</v>
      </c>
      <c r="I7" s="150">
        <v>3000</v>
      </c>
      <c r="J7" s="146">
        <v>2250</v>
      </c>
      <c r="K7" s="150">
        <v>2000</v>
      </c>
      <c r="L7" s="146">
        <v>1000</v>
      </c>
      <c r="M7" s="150">
        <v>750</v>
      </c>
      <c r="N7" s="150">
        <v>400</v>
      </c>
      <c r="O7" s="146">
        <v>325</v>
      </c>
      <c r="P7" s="146"/>
      <c r="Q7" s="150"/>
      <c r="R7" s="146"/>
      <c r="S7" s="150"/>
      <c r="T7" s="150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93"/>
    </row>
    <row r="8" spans="2:44" x14ac:dyDescent="0.25">
      <c r="B8" s="42" t="s">
        <v>34</v>
      </c>
      <c r="C8" s="42" t="s">
        <v>35</v>
      </c>
      <c r="D8" s="44">
        <v>125</v>
      </c>
      <c r="F8" s="93"/>
      <c r="G8" s="146"/>
      <c r="H8" s="149" t="s">
        <v>39</v>
      </c>
      <c r="I8" s="146">
        <v>10000</v>
      </c>
      <c r="J8" s="146">
        <v>3350</v>
      </c>
      <c r="K8" s="146">
        <v>3000</v>
      </c>
      <c r="L8" s="146">
        <v>2000</v>
      </c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6"/>
      <c r="AR8" s="93"/>
    </row>
    <row r="9" spans="2:44" x14ac:dyDescent="0.25">
      <c r="B9" s="42" t="s">
        <v>34</v>
      </c>
      <c r="C9" s="42" t="s">
        <v>35</v>
      </c>
      <c r="D9" s="44">
        <v>120</v>
      </c>
      <c r="F9" s="93"/>
      <c r="G9" s="146"/>
      <c r="H9" s="146"/>
      <c r="I9" s="151"/>
      <c r="J9" s="151"/>
      <c r="K9" s="151"/>
      <c r="L9" s="151"/>
      <c r="M9" s="151"/>
      <c r="N9" s="151"/>
      <c r="O9" s="151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93"/>
    </row>
    <row r="10" spans="2:44" x14ac:dyDescent="0.25">
      <c r="B10" s="42" t="s">
        <v>34</v>
      </c>
      <c r="C10" s="42" t="s">
        <v>35</v>
      </c>
      <c r="D10" s="44">
        <v>100</v>
      </c>
      <c r="F10" s="93"/>
      <c r="G10" s="152" t="s">
        <v>75</v>
      </c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93"/>
    </row>
    <row r="11" spans="2:44" x14ac:dyDescent="0.25">
      <c r="B11" s="42" t="s">
        <v>34</v>
      </c>
      <c r="C11" s="42" t="s">
        <v>35</v>
      </c>
      <c r="D11" s="44">
        <v>80</v>
      </c>
      <c r="F11" s="93"/>
      <c r="G11" s="152"/>
      <c r="H11" s="153" t="s">
        <v>34</v>
      </c>
      <c r="I11" s="154">
        <v>600</v>
      </c>
      <c r="J11" s="154">
        <v>500</v>
      </c>
      <c r="K11" s="154">
        <v>400</v>
      </c>
      <c r="L11" s="154">
        <v>350</v>
      </c>
      <c r="M11" s="154">
        <v>300</v>
      </c>
      <c r="N11" s="154">
        <v>250</v>
      </c>
      <c r="O11" s="154">
        <v>240</v>
      </c>
      <c r="P11" s="154">
        <v>200</v>
      </c>
      <c r="Q11" s="154">
        <v>150</v>
      </c>
      <c r="R11" s="154">
        <v>125</v>
      </c>
      <c r="S11" s="154">
        <v>120</v>
      </c>
      <c r="T11" s="154">
        <v>100</v>
      </c>
      <c r="U11" s="154">
        <v>80</v>
      </c>
      <c r="V11" s="154">
        <v>75</v>
      </c>
      <c r="W11" s="154">
        <v>60</v>
      </c>
      <c r="X11" s="154">
        <v>50</v>
      </c>
      <c r="Y11" s="154">
        <v>40</v>
      </c>
      <c r="Z11" s="155">
        <v>35</v>
      </c>
      <c r="AA11" s="154">
        <v>30</v>
      </c>
      <c r="AB11" s="154">
        <v>25</v>
      </c>
      <c r="AC11" s="154">
        <v>20</v>
      </c>
      <c r="AD11" s="154">
        <v>16</v>
      </c>
      <c r="AE11" s="154">
        <v>12</v>
      </c>
      <c r="AF11" s="154">
        <v>10</v>
      </c>
      <c r="AG11" s="154">
        <v>8</v>
      </c>
      <c r="AH11" s="154">
        <v>5</v>
      </c>
      <c r="AI11" s="154">
        <v>3</v>
      </c>
      <c r="AJ11" s="154">
        <v>2</v>
      </c>
      <c r="AK11" s="154">
        <v>1</v>
      </c>
      <c r="AL11" s="154"/>
      <c r="AM11" s="154"/>
      <c r="AN11" s="154"/>
      <c r="AO11" s="155"/>
      <c r="AP11" s="155"/>
      <c r="AQ11" s="155"/>
      <c r="AR11" s="93"/>
    </row>
    <row r="12" spans="2:44" x14ac:dyDescent="0.25">
      <c r="B12" s="42" t="s">
        <v>34</v>
      </c>
      <c r="C12" s="42" t="s">
        <v>35</v>
      </c>
      <c r="D12" s="44">
        <v>75</v>
      </c>
      <c r="F12" s="93"/>
      <c r="G12" s="152"/>
      <c r="H12" s="156" t="s">
        <v>138</v>
      </c>
      <c r="I12" s="157">
        <v>600</v>
      </c>
      <c r="J12" s="157">
        <v>500</v>
      </c>
      <c r="K12" s="157">
        <v>400</v>
      </c>
      <c r="L12" s="157">
        <v>350</v>
      </c>
      <c r="M12" s="157">
        <v>300</v>
      </c>
      <c r="N12" s="157">
        <v>250</v>
      </c>
      <c r="O12" s="157">
        <v>240</v>
      </c>
      <c r="P12" s="157">
        <v>200</v>
      </c>
      <c r="Q12" s="157">
        <v>150</v>
      </c>
      <c r="R12" s="157">
        <v>125</v>
      </c>
      <c r="S12" s="157">
        <v>120</v>
      </c>
      <c r="T12" s="157">
        <v>100</v>
      </c>
      <c r="U12" s="157">
        <v>80</v>
      </c>
      <c r="V12" s="157">
        <v>75</v>
      </c>
      <c r="W12" s="157">
        <v>60</v>
      </c>
      <c r="X12" s="157">
        <v>50</v>
      </c>
      <c r="Y12" s="157">
        <v>40</v>
      </c>
      <c r="Z12" s="152">
        <v>35</v>
      </c>
      <c r="AA12" s="157">
        <v>30</v>
      </c>
      <c r="AB12" s="157">
        <v>25</v>
      </c>
      <c r="AC12" s="157">
        <v>20</v>
      </c>
      <c r="AD12" s="157">
        <v>16</v>
      </c>
      <c r="AE12" s="157">
        <v>12</v>
      </c>
      <c r="AF12" s="157">
        <v>10</v>
      </c>
      <c r="AG12" s="157">
        <v>8</v>
      </c>
      <c r="AH12" s="157">
        <v>5</v>
      </c>
      <c r="AI12" s="157">
        <v>3</v>
      </c>
      <c r="AJ12" s="157">
        <v>2</v>
      </c>
      <c r="AK12" s="157">
        <v>1</v>
      </c>
      <c r="AL12" s="157"/>
      <c r="AM12" s="157"/>
      <c r="AN12" s="157"/>
      <c r="AO12" s="152"/>
      <c r="AP12" s="152"/>
      <c r="AQ12" s="152"/>
      <c r="AR12" s="93"/>
    </row>
    <row r="13" spans="2:44" x14ac:dyDescent="0.25">
      <c r="B13" s="42" t="s">
        <v>34</v>
      </c>
      <c r="C13" s="42" t="s">
        <v>35</v>
      </c>
      <c r="D13" s="44">
        <v>60</v>
      </c>
      <c r="F13" s="93"/>
      <c r="G13" s="152"/>
      <c r="H13" s="156" t="s">
        <v>137</v>
      </c>
      <c r="I13" s="157">
        <v>600</v>
      </c>
      <c r="J13" s="157">
        <v>500</v>
      </c>
      <c r="K13" s="157">
        <v>400</v>
      </c>
      <c r="L13" s="157">
        <v>350</v>
      </c>
      <c r="M13" s="157">
        <v>300</v>
      </c>
      <c r="N13" s="157">
        <v>250</v>
      </c>
      <c r="O13" s="157">
        <v>240</v>
      </c>
      <c r="P13" s="157">
        <v>200</v>
      </c>
      <c r="Q13" s="157">
        <v>150</v>
      </c>
      <c r="R13" s="157">
        <v>125</v>
      </c>
      <c r="S13" s="157">
        <v>120</v>
      </c>
      <c r="T13" s="157">
        <v>100</v>
      </c>
      <c r="U13" s="157">
        <v>80</v>
      </c>
      <c r="V13" s="157">
        <v>75</v>
      </c>
      <c r="W13" s="157">
        <v>60</v>
      </c>
      <c r="X13" s="157">
        <v>50</v>
      </c>
      <c r="Y13" s="157">
        <v>40</v>
      </c>
      <c r="Z13" s="152">
        <v>35</v>
      </c>
      <c r="AA13" s="157">
        <v>30</v>
      </c>
      <c r="AB13" s="157">
        <v>25</v>
      </c>
      <c r="AC13" s="157">
        <v>20</v>
      </c>
      <c r="AD13" s="157">
        <v>16</v>
      </c>
      <c r="AE13" s="157">
        <v>12</v>
      </c>
      <c r="AF13" s="157">
        <v>10</v>
      </c>
      <c r="AG13" s="157">
        <v>8</v>
      </c>
      <c r="AH13" s="157">
        <v>5</v>
      </c>
      <c r="AI13" s="157">
        <v>3</v>
      </c>
      <c r="AJ13" s="157">
        <v>2</v>
      </c>
      <c r="AK13" s="157">
        <v>1</v>
      </c>
      <c r="AL13" s="157"/>
      <c r="AM13" s="157"/>
      <c r="AN13" s="157"/>
      <c r="AO13" s="152"/>
      <c r="AP13" s="152"/>
      <c r="AQ13" s="152"/>
      <c r="AR13" s="93"/>
    </row>
    <row r="14" spans="2:44" x14ac:dyDescent="0.25">
      <c r="B14" s="42" t="s">
        <v>34</v>
      </c>
      <c r="C14" s="42" t="s">
        <v>35</v>
      </c>
      <c r="D14" s="44">
        <v>40</v>
      </c>
      <c r="F14" s="93"/>
      <c r="G14" s="152"/>
      <c r="H14" s="156" t="s">
        <v>38</v>
      </c>
      <c r="I14" s="152">
        <v>2500</v>
      </c>
      <c r="J14" s="152">
        <v>2250</v>
      </c>
      <c r="K14" s="152">
        <v>1000</v>
      </c>
      <c r="L14" s="152">
        <v>750</v>
      </c>
      <c r="M14" s="157">
        <v>700</v>
      </c>
      <c r="N14" s="152">
        <v>600</v>
      </c>
      <c r="O14" s="152">
        <v>500</v>
      </c>
      <c r="P14" s="157">
        <v>400</v>
      </c>
      <c r="Q14" s="152">
        <v>200</v>
      </c>
      <c r="R14" s="157">
        <v>100</v>
      </c>
      <c r="S14" s="157"/>
      <c r="T14" s="157"/>
      <c r="U14" s="152"/>
      <c r="V14" s="157"/>
      <c r="W14" s="152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2"/>
      <c r="AL14" s="152"/>
      <c r="AM14" s="152"/>
      <c r="AN14" s="152"/>
      <c r="AO14" s="152"/>
      <c r="AP14" s="152"/>
      <c r="AQ14" s="152"/>
      <c r="AR14" s="93"/>
    </row>
    <row r="15" spans="2:44" x14ac:dyDescent="0.25">
      <c r="B15" s="42" t="s">
        <v>34</v>
      </c>
      <c r="C15" s="42" t="s">
        <v>35</v>
      </c>
      <c r="D15" s="44">
        <v>30</v>
      </c>
      <c r="F15" s="93"/>
      <c r="G15" s="152"/>
      <c r="H15" s="156" t="s">
        <v>73</v>
      </c>
      <c r="I15" s="152">
        <v>2500</v>
      </c>
      <c r="J15" s="152">
        <v>2250</v>
      </c>
      <c r="K15" s="152">
        <v>1000</v>
      </c>
      <c r="L15" s="152">
        <v>750</v>
      </c>
      <c r="M15" s="157">
        <v>700</v>
      </c>
      <c r="N15" s="152">
        <v>600</v>
      </c>
      <c r="O15" s="152">
        <v>500</v>
      </c>
      <c r="P15" s="157">
        <v>400</v>
      </c>
      <c r="Q15" s="152">
        <v>200</v>
      </c>
      <c r="R15" s="157">
        <v>100</v>
      </c>
      <c r="S15" s="157"/>
      <c r="T15" s="157"/>
      <c r="U15" s="152"/>
      <c r="V15" s="157"/>
      <c r="W15" s="152"/>
      <c r="X15" s="157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2"/>
      <c r="AK15" s="152"/>
      <c r="AL15" s="152"/>
      <c r="AM15" s="152"/>
      <c r="AN15" s="152"/>
      <c r="AO15" s="152"/>
      <c r="AP15" s="152"/>
      <c r="AQ15" s="152"/>
      <c r="AR15" s="93"/>
    </row>
    <row r="16" spans="2:44" x14ac:dyDescent="0.25">
      <c r="B16" s="42" t="s">
        <v>34</v>
      </c>
      <c r="C16" s="42" t="s">
        <v>35</v>
      </c>
      <c r="D16" s="44">
        <v>20</v>
      </c>
      <c r="F16" s="93"/>
      <c r="G16" s="152"/>
      <c r="H16" s="156" t="s">
        <v>72</v>
      </c>
      <c r="I16" s="152">
        <v>2500</v>
      </c>
      <c r="J16" s="152">
        <v>2250</v>
      </c>
      <c r="K16" s="152">
        <v>1000</v>
      </c>
      <c r="L16" s="152">
        <v>750</v>
      </c>
      <c r="M16" s="157">
        <v>700</v>
      </c>
      <c r="N16" s="152">
        <v>600</v>
      </c>
      <c r="O16" s="152">
        <v>500</v>
      </c>
      <c r="P16" s="157">
        <v>400</v>
      </c>
      <c r="Q16" s="152">
        <v>200</v>
      </c>
      <c r="R16" s="157">
        <v>100</v>
      </c>
      <c r="S16" s="157"/>
      <c r="T16" s="157"/>
      <c r="U16" s="152"/>
      <c r="V16" s="157"/>
      <c r="W16" s="152"/>
      <c r="X16" s="157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152"/>
      <c r="AK16" s="152"/>
      <c r="AL16" s="152"/>
      <c r="AM16" s="152"/>
      <c r="AN16" s="152"/>
      <c r="AO16" s="152"/>
      <c r="AP16" s="152"/>
      <c r="AQ16" s="152"/>
      <c r="AR16" s="93"/>
    </row>
    <row r="17" spans="2:44" x14ac:dyDescent="0.25">
      <c r="B17" s="42" t="s">
        <v>34</v>
      </c>
      <c r="C17" s="42" t="s">
        <v>35</v>
      </c>
      <c r="D17" s="44">
        <v>10</v>
      </c>
      <c r="F17" s="93"/>
      <c r="G17" s="152"/>
      <c r="H17" s="156" t="s">
        <v>39</v>
      </c>
      <c r="I17" s="152">
        <v>3350</v>
      </c>
      <c r="J17" s="152">
        <v>3000</v>
      </c>
      <c r="K17" s="152">
        <v>2500</v>
      </c>
      <c r="L17" s="152">
        <v>2000</v>
      </c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152"/>
      <c r="AR17" s="93"/>
    </row>
    <row r="18" spans="2:44" x14ac:dyDescent="0.25">
      <c r="B18" s="42" t="s">
        <v>34</v>
      </c>
      <c r="C18" s="42" t="s">
        <v>35</v>
      </c>
      <c r="D18" s="44">
        <v>5</v>
      </c>
      <c r="F18" s="93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93"/>
    </row>
    <row r="19" spans="2:44" x14ac:dyDescent="0.25">
      <c r="B19" s="42" t="s">
        <v>34</v>
      </c>
      <c r="C19" s="42" t="s">
        <v>35</v>
      </c>
      <c r="D19" s="44">
        <v>2</v>
      </c>
      <c r="F19" s="93"/>
      <c r="G19" s="146" t="s">
        <v>36</v>
      </c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93"/>
    </row>
    <row r="20" spans="2:44" x14ac:dyDescent="0.25">
      <c r="B20" s="42" t="s">
        <v>34</v>
      </c>
      <c r="C20" s="42" t="s">
        <v>35</v>
      </c>
      <c r="D20" s="44">
        <v>1</v>
      </c>
      <c r="F20" s="93"/>
      <c r="G20" s="146"/>
      <c r="H20" s="147" t="s">
        <v>34</v>
      </c>
      <c r="I20" s="148">
        <v>2500</v>
      </c>
      <c r="J20" s="148">
        <v>1250</v>
      </c>
      <c r="K20" s="148">
        <v>800</v>
      </c>
      <c r="L20" s="148">
        <v>600</v>
      </c>
      <c r="M20" s="148">
        <v>500</v>
      </c>
      <c r="N20" s="148">
        <v>400</v>
      </c>
      <c r="O20" s="148">
        <v>300</v>
      </c>
      <c r="P20" s="148">
        <v>250</v>
      </c>
      <c r="Q20" s="148">
        <v>200</v>
      </c>
      <c r="R20" s="148">
        <v>125</v>
      </c>
      <c r="S20" s="148">
        <v>120</v>
      </c>
      <c r="T20" s="148">
        <v>100</v>
      </c>
      <c r="U20" s="148">
        <v>80</v>
      </c>
      <c r="V20" s="148">
        <v>75</v>
      </c>
      <c r="W20" s="148">
        <v>70</v>
      </c>
      <c r="X20" s="148">
        <v>60</v>
      </c>
      <c r="Y20" s="148">
        <v>50</v>
      </c>
      <c r="Z20" s="148">
        <v>40</v>
      </c>
      <c r="AA20" s="148">
        <v>35</v>
      </c>
      <c r="AB20" s="148">
        <v>30</v>
      </c>
      <c r="AC20" s="148">
        <v>25</v>
      </c>
      <c r="AD20" s="148">
        <v>20</v>
      </c>
      <c r="AE20" s="148">
        <v>16</v>
      </c>
      <c r="AF20" s="148">
        <v>12</v>
      </c>
      <c r="AG20" s="148">
        <v>10</v>
      </c>
      <c r="AH20" s="148">
        <v>8</v>
      </c>
      <c r="AI20" s="148">
        <v>6</v>
      </c>
      <c r="AJ20" s="148">
        <v>4</v>
      </c>
      <c r="AK20" s="148">
        <v>3</v>
      </c>
      <c r="AL20" s="158">
        <v>2</v>
      </c>
      <c r="AM20" s="158">
        <v>1.5</v>
      </c>
      <c r="AN20" s="158">
        <v>1</v>
      </c>
      <c r="AO20" s="158">
        <v>0.8</v>
      </c>
      <c r="AP20" s="158">
        <v>0.5</v>
      </c>
      <c r="AQ20" s="146"/>
      <c r="AR20" s="93"/>
    </row>
    <row r="21" spans="2:44" x14ac:dyDescent="0.25">
      <c r="B21" s="42" t="s">
        <v>34</v>
      </c>
      <c r="C21" s="42" t="s">
        <v>36</v>
      </c>
      <c r="D21" s="44">
        <v>600</v>
      </c>
      <c r="F21" s="93"/>
      <c r="G21" s="146"/>
      <c r="H21" s="149" t="s">
        <v>138</v>
      </c>
      <c r="I21" s="150">
        <v>2500</v>
      </c>
      <c r="J21" s="150">
        <v>1250</v>
      </c>
      <c r="K21" s="150">
        <v>800</v>
      </c>
      <c r="L21" s="150">
        <v>600</v>
      </c>
      <c r="M21" s="150">
        <v>500</v>
      </c>
      <c r="N21" s="150">
        <v>400</v>
      </c>
      <c r="O21" s="150">
        <v>300</v>
      </c>
      <c r="P21" s="150">
        <v>250</v>
      </c>
      <c r="Q21" s="150">
        <v>200</v>
      </c>
      <c r="R21" s="150">
        <v>125</v>
      </c>
      <c r="S21" s="150">
        <v>120</v>
      </c>
      <c r="T21" s="150">
        <v>100</v>
      </c>
      <c r="U21" s="150">
        <v>80</v>
      </c>
      <c r="V21" s="150">
        <v>75</v>
      </c>
      <c r="W21" s="150">
        <v>70</v>
      </c>
      <c r="X21" s="150">
        <v>60</v>
      </c>
      <c r="Y21" s="150">
        <v>50</v>
      </c>
      <c r="Z21" s="150">
        <v>40</v>
      </c>
      <c r="AA21" s="150">
        <v>35</v>
      </c>
      <c r="AB21" s="150">
        <v>30</v>
      </c>
      <c r="AC21" s="150">
        <v>25</v>
      </c>
      <c r="AD21" s="150">
        <v>20</v>
      </c>
      <c r="AE21" s="150">
        <v>16</v>
      </c>
      <c r="AF21" s="150">
        <v>12</v>
      </c>
      <c r="AG21" s="150">
        <v>10</v>
      </c>
      <c r="AH21" s="150">
        <v>8</v>
      </c>
      <c r="AI21" s="150">
        <v>6</v>
      </c>
      <c r="AJ21" s="150">
        <v>4</v>
      </c>
      <c r="AK21" s="150">
        <v>3</v>
      </c>
      <c r="AL21" s="159">
        <v>2</v>
      </c>
      <c r="AM21" s="159">
        <v>1.5</v>
      </c>
      <c r="AN21" s="159">
        <v>1</v>
      </c>
      <c r="AO21" s="159">
        <v>0.8</v>
      </c>
      <c r="AP21" s="159">
        <v>0.5</v>
      </c>
      <c r="AQ21" s="146"/>
      <c r="AR21" s="93"/>
    </row>
    <row r="22" spans="2:44" x14ac:dyDescent="0.25">
      <c r="B22" s="42" t="s">
        <v>34</v>
      </c>
      <c r="C22" s="42" t="s">
        <v>36</v>
      </c>
      <c r="D22" s="44">
        <v>300</v>
      </c>
      <c r="F22" s="93"/>
      <c r="G22" s="146"/>
      <c r="H22" s="149" t="s">
        <v>137</v>
      </c>
      <c r="I22" s="150">
        <v>2500</v>
      </c>
      <c r="J22" s="150">
        <v>1250</v>
      </c>
      <c r="K22" s="150">
        <v>800</v>
      </c>
      <c r="L22" s="150">
        <v>600</v>
      </c>
      <c r="M22" s="150">
        <v>500</v>
      </c>
      <c r="N22" s="150">
        <v>400</v>
      </c>
      <c r="O22" s="150">
        <v>300</v>
      </c>
      <c r="P22" s="150">
        <v>250</v>
      </c>
      <c r="Q22" s="150">
        <v>200</v>
      </c>
      <c r="R22" s="150">
        <v>125</v>
      </c>
      <c r="S22" s="150">
        <v>120</v>
      </c>
      <c r="T22" s="150">
        <v>100</v>
      </c>
      <c r="U22" s="150">
        <v>80</v>
      </c>
      <c r="V22" s="150">
        <v>75</v>
      </c>
      <c r="W22" s="150">
        <v>70</v>
      </c>
      <c r="X22" s="150">
        <v>60</v>
      </c>
      <c r="Y22" s="150">
        <v>50</v>
      </c>
      <c r="Z22" s="150">
        <v>40</v>
      </c>
      <c r="AA22" s="150">
        <v>35</v>
      </c>
      <c r="AB22" s="150">
        <v>30</v>
      </c>
      <c r="AC22" s="150">
        <v>25</v>
      </c>
      <c r="AD22" s="150">
        <v>20</v>
      </c>
      <c r="AE22" s="150">
        <v>16</v>
      </c>
      <c r="AF22" s="150">
        <v>12</v>
      </c>
      <c r="AG22" s="150">
        <v>10</v>
      </c>
      <c r="AH22" s="150">
        <v>8</v>
      </c>
      <c r="AI22" s="150">
        <v>6</v>
      </c>
      <c r="AJ22" s="150">
        <v>4</v>
      </c>
      <c r="AK22" s="150">
        <v>3</v>
      </c>
      <c r="AL22" s="159">
        <v>2</v>
      </c>
      <c r="AM22" s="159">
        <v>1.5</v>
      </c>
      <c r="AN22" s="159">
        <v>1</v>
      </c>
      <c r="AO22" s="159">
        <v>0.8</v>
      </c>
      <c r="AP22" s="159">
        <v>0.5</v>
      </c>
      <c r="AQ22" s="146"/>
      <c r="AR22" s="93"/>
    </row>
    <row r="23" spans="2:44" x14ac:dyDescent="0.25">
      <c r="B23" s="42" t="s">
        <v>34</v>
      </c>
      <c r="C23" s="42" t="s">
        <v>36</v>
      </c>
      <c r="D23" s="44">
        <v>125</v>
      </c>
      <c r="F23" s="93"/>
      <c r="G23" s="146"/>
      <c r="H23" s="149" t="s">
        <v>38</v>
      </c>
      <c r="I23" s="146">
        <v>2500</v>
      </c>
      <c r="J23" s="146">
        <v>2000</v>
      </c>
      <c r="K23" s="146">
        <v>1500</v>
      </c>
      <c r="L23" s="146">
        <v>1250</v>
      </c>
      <c r="M23" s="150">
        <v>750</v>
      </c>
      <c r="N23" s="150">
        <v>400</v>
      </c>
      <c r="O23" s="150">
        <v>350</v>
      </c>
      <c r="P23" s="150">
        <v>270</v>
      </c>
      <c r="Q23" s="150">
        <v>200</v>
      </c>
      <c r="R23" s="150">
        <v>125</v>
      </c>
      <c r="S23" s="150">
        <v>80</v>
      </c>
      <c r="T23" s="150"/>
      <c r="U23" s="150"/>
      <c r="V23" s="150"/>
      <c r="W23" s="150"/>
      <c r="X23" s="150"/>
      <c r="Y23" s="150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93"/>
    </row>
    <row r="24" spans="2:44" x14ac:dyDescent="0.25">
      <c r="B24" s="43" t="s">
        <v>34</v>
      </c>
      <c r="C24" s="42" t="s">
        <v>36</v>
      </c>
      <c r="D24" s="44">
        <v>120</v>
      </c>
      <c r="F24" s="93"/>
      <c r="G24" s="146"/>
      <c r="H24" s="149" t="s">
        <v>73</v>
      </c>
      <c r="I24" s="146">
        <v>2500</v>
      </c>
      <c r="J24" s="146">
        <v>2000</v>
      </c>
      <c r="K24" s="146">
        <v>1500</v>
      </c>
      <c r="L24" s="146">
        <v>1250</v>
      </c>
      <c r="M24" s="150">
        <v>750</v>
      </c>
      <c r="N24" s="150">
        <v>400</v>
      </c>
      <c r="O24" s="150">
        <v>350</v>
      </c>
      <c r="P24" s="150">
        <v>270</v>
      </c>
      <c r="Q24" s="150">
        <v>200</v>
      </c>
      <c r="R24" s="150">
        <v>125</v>
      </c>
      <c r="S24" s="150">
        <v>80</v>
      </c>
      <c r="T24" s="150"/>
      <c r="U24" s="150"/>
      <c r="V24" s="150"/>
      <c r="W24" s="150"/>
      <c r="X24" s="150"/>
      <c r="Y24" s="150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93"/>
    </row>
    <row r="25" spans="2:44" x14ac:dyDescent="0.25">
      <c r="B25" s="42" t="s">
        <v>34</v>
      </c>
      <c r="C25" s="42" t="s">
        <v>36</v>
      </c>
      <c r="D25" s="44">
        <v>100</v>
      </c>
      <c r="F25" s="93"/>
      <c r="G25" s="146"/>
      <c r="H25" s="149" t="s">
        <v>72</v>
      </c>
      <c r="I25" s="146">
        <v>2500</v>
      </c>
      <c r="J25" s="146">
        <v>2000</v>
      </c>
      <c r="K25" s="146">
        <v>1500</v>
      </c>
      <c r="L25" s="146">
        <v>1250</v>
      </c>
      <c r="M25" s="150">
        <v>750</v>
      </c>
      <c r="N25" s="150">
        <v>400</v>
      </c>
      <c r="O25" s="150">
        <v>350</v>
      </c>
      <c r="P25" s="150">
        <v>270</v>
      </c>
      <c r="Q25" s="150">
        <v>200</v>
      </c>
      <c r="R25" s="150">
        <v>125</v>
      </c>
      <c r="S25" s="150">
        <v>80</v>
      </c>
      <c r="T25" s="150"/>
      <c r="U25" s="150"/>
      <c r="V25" s="150"/>
      <c r="W25" s="150"/>
      <c r="X25" s="150"/>
      <c r="Y25" s="150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93"/>
    </row>
    <row r="26" spans="2:44" x14ac:dyDescent="0.25">
      <c r="B26" s="42" t="s">
        <v>34</v>
      </c>
      <c r="C26" s="42" t="s">
        <v>36</v>
      </c>
      <c r="D26" s="44">
        <v>80</v>
      </c>
      <c r="F26" s="93"/>
      <c r="G26" s="146"/>
      <c r="H26" s="149" t="s">
        <v>39</v>
      </c>
      <c r="I26" s="146">
        <v>2400</v>
      </c>
      <c r="J26" s="146">
        <v>2000</v>
      </c>
      <c r="K26" s="146">
        <v>1850</v>
      </c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93"/>
    </row>
    <row r="27" spans="2:44" x14ac:dyDescent="0.25">
      <c r="B27" s="42" t="s">
        <v>34</v>
      </c>
      <c r="C27" s="42" t="s">
        <v>36</v>
      </c>
      <c r="D27" s="44">
        <v>75</v>
      </c>
      <c r="F27" s="93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93"/>
    </row>
    <row r="28" spans="2:44" x14ac:dyDescent="0.25">
      <c r="B28" s="42" t="s">
        <v>34</v>
      </c>
      <c r="C28" s="42" t="s">
        <v>36</v>
      </c>
      <c r="D28" s="44">
        <v>70</v>
      </c>
      <c r="F28" s="93"/>
      <c r="G28" s="152" t="s">
        <v>37</v>
      </c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  <c r="AQ28" s="152"/>
      <c r="AR28" s="93"/>
    </row>
    <row r="29" spans="2:44" x14ac:dyDescent="0.25">
      <c r="B29" s="42" t="s">
        <v>34</v>
      </c>
      <c r="C29" s="42" t="s">
        <v>36</v>
      </c>
      <c r="D29" s="44">
        <v>60</v>
      </c>
      <c r="F29" s="93"/>
      <c r="G29" s="152"/>
      <c r="H29" s="153" t="s">
        <v>34</v>
      </c>
      <c r="I29" s="155">
        <v>500</v>
      </c>
      <c r="J29" s="155">
        <v>200</v>
      </c>
      <c r="K29" s="155">
        <v>125</v>
      </c>
      <c r="L29" s="155">
        <v>100</v>
      </c>
      <c r="M29" s="155">
        <v>80</v>
      </c>
      <c r="N29" s="154">
        <v>50</v>
      </c>
      <c r="O29" s="154">
        <v>40</v>
      </c>
      <c r="P29" s="155">
        <v>30</v>
      </c>
      <c r="Q29" s="155">
        <v>25</v>
      </c>
      <c r="R29" s="154">
        <v>20</v>
      </c>
      <c r="S29" s="155">
        <v>16</v>
      </c>
      <c r="T29" s="155">
        <v>12</v>
      </c>
      <c r="U29" s="154">
        <v>10</v>
      </c>
      <c r="V29" s="155">
        <v>8</v>
      </c>
      <c r="W29" s="154">
        <v>6</v>
      </c>
      <c r="X29" s="154">
        <v>5</v>
      </c>
      <c r="Y29" s="154">
        <v>4</v>
      </c>
      <c r="Z29" s="154">
        <v>3</v>
      </c>
      <c r="AA29" s="154">
        <v>2</v>
      </c>
      <c r="AB29" s="155"/>
      <c r="AC29" s="154"/>
      <c r="AD29" s="154"/>
      <c r="AE29" s="154"/>
      <c r="AF29" s="154"/>
      <c r="AG29" s="154"/>
      <c r="AH29" s="154"/>
      <c r="AI29" s="154"/>
      <c r="AJ29" s="154"/>
      <c r="AK29" s="154"/>
      <c r="AL29" s="155"/>
      <c r="AM29" s="155"/>
      <c r="AN29" s="155"/>
      <c r="AO29" s="155"/>
      <c r="AP29" s="155"/>
      <c r="AQ29" s="155"/>
      <c r="AR29" s="93"/>
    </row>
    <row r="30" spans="2:44" x14ac:dyDescent="0.25">
      <c r="B30" s="42" t="s">
        <v>34</v>
      </c>
      <c r="C30" s="42" t="s">
        <v>36</v>
      </c>
      <c r="D30" s="44">
        <v>50</v>
      </c>
      <c r="F30" s="93"/>
      <c r="G30" s="152"/>
      <c r="H30" s="156" t="s">
        <v>138</v>
      </c>
      <c r="I30" s="152">
        <v>500</v>
      </c>
      <c r="J30" s="152">
        <v>200</v>
      </c>
      <c r="K30" s="152">
        <v>125</v>
      </c>
      <c r="L30" s="152">
        <v>100</v>
      </c>
      <c r="M30" s="152">
        <v>80</v>
      </c>
      <c r="N30" s="157">
        <v>50</v>
      </c>
      <c r="O30" s="157">
        <v>40</v>
      </c>
      <c r="P30" s="152">
        <v>30</v>
      </c>
      <c r="Q30" s="152">
        <v>25</v>
      </c>
      <c r="R30" s="157">
        <v>20</v>
      </c>
      <c r="S30" s="152">
        <v>16</v>
      </c>
      <c r="T30" s="152">
        <v>12</v>
      </c>
      <c r="U30" s="157">
        <v>10</v>
      </c>
      <c r="V30" s="152">
        <v>8</v>
      </c>
      <c r="W30" s="157">
        <v>6</v>
      </c>
      <c r="X30" s="157">
        <v>5</v>
      </c>
      <c r="Y30" s="157">
        <v>4</v>
      </c>
      <c r="Z30" s="157">
        <v>3</v>
      </c>
      <c r="AA30" s="157">
        <v>2</v>
      </c>
      <c r="AB30" s="152"/>
      <c r="AC30" s="157"/>
      <c r="AD30" s="157"/>
      <c r="AE30" s="157"/>
      <c r="AF30" s="157"/>
      <c r="AG30" s="157"/>
      <c r="AH30" s="157"/>
      <c r="AI30" s="157"/>
      <c r="AJ30" s="157"/>
      <c r="AK30" s="157"/>
      <c r="AL30" s="152"/>
      <c r="AM30" s="152"/>
      <c r="AN30" s="152"/>
      <c r="AO30" s="152"/>
      <c r="AP30" s="152"/>
      <c r="AQ30" s="152"/>
      <c r="AR30" s="93"/>
    </row>
    <row r="31" spans="2:44" x14ac:dyDescent="0.25">
      <c r="B31" s="42" t="s">
        <v>34</v>
      </c>
      <c r="C31" s="42" t="s">
        <v>36</v>
      </c>
      <c r="D31" s="44">
        <v>40</v>
      </c>
      <c r="F31" s="93"/>
      <c r="G31" s="152"/>
      <c r="H31" s="156" t="s">
        <v>137</v>
      </c>
      <c r="I31" s="152">
        <v>500</v>
      </c>
      <c r="J31" s="152">
        <v>200</v>
      </c>
      <c r="K31" s="152">
        <v>125</v>
      </c>
      <c r="L31" s="152">
        <v>100</v>
      </c>
      <c r="M31" s="152">
        <v>80</v>
      </c>
      <c r="N31" s="157">
        <v>50</v>
      </c>
      <c r="O31" s="157">
        <v>40</v>
      </c>
      <c r="P31" s="152">
        <v>30</v>
      </c>
      <c r="Q31" s="152">
        <v>25</v>
      </c>
      <c r="R31" s="157">
        <v>20</v>
      </c>
      <c r="S31" s="152">
        <v>16</v>
      </c>
      <c r="T31" s="152">
        <v>12</v>
      </c>
      <c r="U31" s="157">
        <v>10</v>
      </c>
      <c r="V31" s="152">
        <v>8</v>
      </c>
      <c r="W31" s="157">
        <v>6</v>
      </c>
      <c r="X31" s="157">
        <v>5</v>
      </c>
      <c r="Y31" s="157">
        <v>4</v>
      </c>
      <c r="Z31" s="157">
        <v>3</v>
      </c>
      <c r="AA31" s="157">
        <v>2</v>
      </c>
      <c r="AB31" s="152"/>
      <c r="AC31" s="157"/>
      <c r="AD31" s="157"/>
      <c r="AE31" s="157"/>
      <c r="AF31" s="157"/>
      <c r="AG31" s="157"/>
      <c r="AH31" s="157"/>
      <c r="AI31" s="157"/>
      <c r="AJ31" s="157"/>
      <c r="AK31" s="157"/>
      <c r="AL31" s="152"/>
      <c r="AM31" s="152"/>
      <c r="AN31" s="152"/>
      <c r="AO31" s="152"/>
      <c r="AP31" s="152"/>
      <c r="AQ31" s="152"/>
      <c r="AR31" s="93"/>
    </row>
    <row r="32" spans="2:44" x14ac:dyDescent="0.25">
      <c r="B32" s="42" t="s">
        <v>34</v>
      </c>
      <c r="C32" s="42" t="s">
        <v>36</v>
      </c>
      <c r="D32" s="44">
        <v>35</v>
      </c>
      <c r="F32" s="93"/>
      <c r="G32" s="152"/>
      <c r="H32" s="156" t="s">
        <v>38</v>
      </c>
      <c r="I32" s="152">
        <v>1200</v>
      </c>
      <c r="J32" s="152">
        <v>700</v>
      </c>
      <c r="K32" s="152">
        <v>600</v>
      </c>
      <c r="L32" s="152">
        <v>550</v>
      </c>
      <c r="M32" s="152">
        <v>500</v>
      </c>
      <c r="N32" s="152">
        <v>400</v>
      </c>
      <c r="O32" s="152">
        <v>320</v>
      </c>
      <c r="P32" s="152">
        <v>300</v>
      </c>
      <c r="Q32" s="152">
        <v>250</v>
      </c>
      <c r="R32" s="152">
        <v>175</v>
      </c>
      <c r="S32" s="152">
        <v>150</v>
      </c>
      <c r="T32" s="152">
        <v>120</v>
      </c>
      <c r="U32" s="152">
        <v>100</v>
      </c>
      <c r="V32" s="152">
        <v>75</v>
      </c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93"/>
    </row>
    <row r="33" spans="2:44" x14ac:dyDescent="0.25">
      <c r="B33" s="42" t="s">
        <v>34</v>
      </c>
      <c r="C33" s="42" t="s">
        <v>36</v>
      </c>
      <c r="D33" s="44">
        <v>25</v>
      </c>
      <c r="F33" s="93"/>
      <c r="G33" s="152"/>
      <c r="H33" s="156" t="s">
        <v>73</v>
      </c>
      <c r="I33" s="152">
        <v>1200</v>
      </c>
      <c r="J33" s="152">
        <v>700</v>
      </c>
      <c r="K33" s="152">
        <v>600</v>
      </c>
      <c r="L33" s="152">
        <v>550</v>
      </c>
      <c r="M33" s="152">
        <v>500</v>
      </c>
      <c r="N33" s="152">
        <v>400</v>
      </c>
      <c r="O33" s="152">
        <v>320</v>
      </c>
      <c r="P33" s="152">
        <v>300</v>
      </c>
      <c r="Q33" s="152">
        <v>250</v>
      </c>
      <c r="R33" s="152">
        <v>175</v>
      </c>
      <c r="S33" s="152">
        <v>150</v>
      </c>
      <c r="T33" s="152">
        <v>120</v>
      </c>
      <c r="U33" s="152">
        <v>100</v>
      </c>
      <c r="V33" s="152">
        <v>75</v>
      </c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93"/>
    </row>
    <row r="34" spans="2:44" x14ac:dyDescent="0.25">
      <c r="B34" s="42" t="s">
        <v>34</v>
      </c>
      <c r="C34" s="42" t="s">
        <v>36</v>
      </c>
      <c r="D34" s="44">
        <v>20</v>
      </c>
      <c r="F34" s="93"/>
      <c r="G34" s="152"/>
      <c r="H34" s="156" t="s">
        <v>72</v>
      </c>
      <c r="I34" s="152">
        <v>1200</v>
      </c>
      <c r="J34" s="152">
        <v>700</v>
      </c>
      <c r="K34" s="152">
        <v>600</v>
      </c>
      <c r="L34" s="152">
        <v>550</v>
      </c>
      <c r="M34" s="152">
        <v>500</v>
      </c>
      <c r="N34" s="152">
        <v>400</v>
      </c>
      <c r="O34" s="152">
        <v>320</v>
      </c>
      <c r="P34" s="152">
        <v>300</v>
      </c>
      <c r="Q34" s="152">
        <v>250</v>
      </c>
      <c r="R34" s="152">
        <v>175</v>
      </c>
      <c r="S34" s="152">
        <v>150</v>
      </c>
      <c r="T34" s="152">
        <v>120</v>
      </c>
      <c r="U34" s="152">
        <v>100</v>
      </c>
      <c r="V34" s="152">
        <v>75</v>
      </c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93"/>
    </row>
    <row r="35" spans="2:44" x14ac:dyDescent="0.25">
      <c r="B35" s="42" t="s">
        <v>34</v>
      </c>
      <c r="C35" s="42" t="s">
        <v>36</v>
      </c>
      <c r="D35" s="44">
        <v>16</v>
      </c>
      <c r="F35" s="93"/>
      <c r="G35" s="152"/>
      <c r="H35" s="156" t="s">
        <v>39</v>
      </c>
      <c r="I35" s="157">
        <v>750</v>
      </c>
      <c r="J35" s="157"/>
      <c r="K35" s="157"/>
      <c r="L35" s="157"/>
      <c r="M35" s="157"/>
      <c r="N35" s="157"/>
      <c r="O35" s="157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152"/>
      <c r="AG35" s="152"/>
      <c r="AH35" s="152"/>
      <c r="AI35" s="152"/>
      <c r="AJ35" s="152"/>
      <c r="AK35" s="152"/>
      <c r="AL35" s="152"/>
      <c r="AM35" s="152"/>
      <c r="AN35" s="152"/>
      <c r="AO35" s="152"/>
      <c r="AP35" s="152"/>
      <c r="AQ35" s="152"/>
      <c r="AR35" s="93"/>
    </row>
    <row r="36" spans="2:44" x14ac:dyDescent="0.25">
      <c r="B36" s="42"/>
      <c r="C36" s="42"/>
      <c r="D36" s="44"/>
      <c r="F36" s="93"/>
      <c r="G36" s="152"/>
      <c r="H36" s="152"/>
      <c r="I36" s="157"/>
      <c r="J36" s="157"/>
      <c r="K36" s="157"/>
      <c r="L36" s="157"/>
      <c r="M36" s="157"/>
      <c r="N36" s="157"/>
      <c r="O36" s="157"/>
      <c r="P36" s="157"/>
      <c r="Q36" s="152"/>
      <c r="R36" s="152"/>
      <c r="S36" s="152"/>
      <c r="T36" s="152"/>
      <c r="U36" s="152"/>
      <c r="V36" s="152"/>
      <c r="W36" s="152"/>
      <c r="X36" s="152"/>
      <c r="Y36" s="152"/>
      <c r="Z36" s="152"/>
      <c r="AA36" s="152"/>
      <c r="AB36" s="152"/>
      <c r="AC36" s="152"/>
      <c r="AD36" s="152"/>
      <c r="AE36" s="152"/>
      <c r="AF36" s="152"/>
      <c r="AG36" s="152"/>
      <c r="AH36" s="152"/>
      <c r="AI36" s="152"/>
      <c r="AJ36" s="152"/>
      <c r="AK36" s="152"/>
      <c r="AL36" s="152"/>
      <c r="AM36" s="152"/>
      <c r="AN36" s="152"/>
      <c r="AO36" s="152"/>
      <c r="AP36" s="152"/>
      <c r="AQ36" s="152"/>
      <c r="AR36" s="93"/>
    </row>
    <row r="37" spans="2:44" x14ac:dyDescent="0.25">
      <c r="B37" s="42"/>
      <c r="C37" s="42"/>
      <c r="D37" s="44"/>
      <c r="F37" s="93"/>
      <c r="G37" s="146" t="s">
        <v>76</v>
      </c>
      <c r="H37" s="146"/>
      <c r="I37" s="150"/>
      <c r="J37" s="150"/>
      <c r="K37" s="150"/>
      <c r="L37" s="150"/>
      <c r="M37" s="150"/>
      <c r="N37" s="150"/>
      <c r="O37" s="150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  <c r="AP37" s="146"/>
      <c r="AQ37" s="146"/>
      <c r="AR37" s="93"/>
    </row>
    <row r="38" spans="2:44" x14ac:dyDescent="0.25">
      <c r="B38" s="42"/>
      <c r="C38" s="42"/>
      <c r="D38" s="44"/>
      <c r="F38" s="93"/>
      <c r="G38" s="146"/>
      <c r="H38" s="147" t="s">
        <v>34</v>
      </c>
      <c r="I38" s="148">
        <v>8</v>
      </c>
      <c r="J38" s="148">
        <v>4</v>
      </c>
      <c r="K38" s="160">
        <v>2</v>
      </c>
      <c r="L38" s="160">
        <v>1</v>
      </c>
      <c r="M38" s="148"/>
      <c r="N38" s="148"/>
      <c r="O38" s="160"/>
      <c r="P38" s="160"/>
      <c r="Q38" s="160"/>
      <c r="R38" s="160"/>
      <c r="S38" s="160"/>
      <c r="T38" s="160"/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60"/>
      <c r="AJ38" s="160"/>
      <c r="AK38" s="160"/>
      <c r="AL38" s="160"/>
      <c r="AM38" s="160"/>
      <c r="AN38" s="160"/>
      <c r="AO38" s="160"/>
      <c r="AP38" s="160"/>
      <c r="AQ38" s="160"/>
      <c r="AR38" s="93"/>
    </row>
    <row r="39" spans="2:44" x14ac:dyDescent="0.25">
      <c r="B39" s="42"/>
      <c r="C39" s="42"/>
      <c r="D39" s="44"/>
      <c r="F39" s="93"/>
      <c r="G39" s="146"/>
      <c r="H39" s="149" t="s">
        <v>138</v>
      </c>
      <c r="I39" s="150">
        <v>8</v>
      </c>
      <c r="J39" s="150">
        <v>4</v>
      </c>
      <c r="K39" s="146">
        <v>2</v>
      </c>
      <c r="L39" s="146">
        <v>1</v>
      </c>
      <c r="M39" s="150"/>
      <c r="N39" s="150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  <c r="AP39" s="146"/>
      <c r="AQ39" s="146"/>
      <c r="AR39" s="93"/>
    </row>
    <row r="40" spans="2:44" x14ac:dyDescent="0.25">
      <c r="B40" s="42"/>
      <c r="C40" s="42"/>
      <c r="D40" s="44"/>
      <c r="F40" s="93"/>
      <c r="G40" s="146"/>
      <c r="H40" s="149" t="s">
        <v>137</v>
      </c>
      <c r="I40" s="150">
        <v>8</v>
      </c>
      <c r="J40" s="150">
        <v>4</v>
      </c>
      <c r="K40" s="146">
        <v>2</v>
      </c>
      <c r="L40" s="146">
        <v>1</v>
      </c>
      <c r="M40" s="150"/>
      <c r="N40" s="150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  <c r="AP40" s="146"/>
      <c r="AQ40" s="146"/>
      <c r="AR40" s="93"/>
    </row>
    <row r="41" spans="2:44" x14ac:dyDescent="0.25">
      <c r="B41" s="42"/>
      <c r="C41" s="42"/>
      <c r="D41" s="44"/>
      <c r="F41" s="93"/>
      <c r="G41" s="146"/>
      <c r="H41" s="149" t="s">
        <v>38</v>
      </c>
      <c r="I41" s="150">
        <v>100</v>
      </c>
      <c r="J41" s="146">
        <v>40</v>
      </c>
      <c r="K41" s="150"/>
      <c r="L41" s="150"/>
      <c r="M41" s="150"/>
      <c r="N41" s="150"/>
      <c r="O41" s="150"/>
      <c r="P41" s="150"/>
      <c r="Q41" s="150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93"/>
    </row>
    <row r="42" spans="2:44" x14ac:dyDescent="0.25">
      <c r="B42" s="42"/>
      <c r="C42" s="42"/>
      <c r="D42" s="44"/>
      <c r="F42" s="93"/>
      <c r="G42" s="146"/>
      <c r="H42" s="149" t="s">
        <v>73</v>
      </c>
      <c r="I42" s="150">
        <v>100</v>
      </c>
      <c r="J42" s="146">
        <v>40</v>
      </c>
      <c r="K42" s="150"/>
      <c r="L42" s="150"/>
      <c r="M42" s="150"/>
      <c r="N42" s="150"/>
      <c r="O42" s="150"/>
      <c r="P42" s="150"/>
      <c r="Q42" s="150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93"/>
    </row>
    <row r="43" spans="2:44" x14ac:dyDescent="0.25">
      <c r="B43" s="42"/>
      <c r="C43" s="42"/>
      <c r="D43" s="44"/>
      <c r="F43" s="93"/>
      <c r="G43" s="146"/>
      <c r="H43" s="149" t="s">
        <v>72</v>
      </c>
      <c r="I43" s="150">
        <v>100</v>
      </c>
      <c r="J43" s="146">
        <v>40</v>
      </c>
      <c r="K43" s="150"/>
      <c r="L43" s="150"/>
      <c r="M43" s="150"/>
      <c r="N43" s="150"/>
      <c r="O43" s="150"/>
      <c r="P43" s="150"/>
      <c r="Q43" s="150"/>
      <c r="R43" s="146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93"/>
    </row>
    <row r="44" spans="2:44" x14ac:dyDescent="0.25">
      <c r="B44" s="42"/>
      <c r="C44" s="42"/>
      <c r="D44" s="44"/>
      <c r="F44" s="93"/>
      <c r="G44" s="146"/>
      <c r="H44" s="149" t="s">
        <v>39</v>
      </c>
      <c r="I44" s="150">
        <v>200</v>
      </c>
      <c r="J44" s="150"/>
      <c r="K44" s="150"/>
      <c r="L44" s="150"/>
      <c r="M44" s="150"/>
      <c r="N44" s="150"/>
      <c r="O44" s="150"/>
      <c r="P44" s="150"/>
      <c r="Q44" s="150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93"/>
    </row>
    <row r="45" spans="2:44" s="93" customFormat="1" x14ac:dyDescent="0.25">
      <c r="B45" s="91" t="s">
        <v>34</v>
      </c>
      <c r="C45" s="91" t="s">
        <v>36</v>
      </c>
      <c r="D45" s="92">
        <v>10</v>
      </c>
    </row>
    <row r="46" spans="2:44" hidden="1" x14ac:dyDescent="0.25">
      <c r="B46" s="42" t="s">
        <v>34</v>
      </c>
      <c r="C46" s="42" t="s">
        <v>36</v>
      </c>
      <c r="D46" s="44">
        <v>8</v>
      </c>
    </row>
    <row r="47" spans="2:44" hidden="1" x14ac:dyDescent="0.25">
      <c r="B47" s="42" t="s">
        <v>34</v>
      </c>
      <c r="C47" s="42" t="s">
        <v>36</v>
      </c>
      <c r="D47" s="44">
        <v>4</v>
      </c>
    </row>
    <row r="48" spans="2:44" hidden="1" x14ac:dyDescent="0.25">
      <c r="B48" s="42" t="s">
        <v>34</v>
      </c>
      <c r="C48" s="42" t="s">
        <v>36</v>
      </c>
      <c r="D48" s="44">
        <v>2</v>
      </c>
    </row>
    <row r="49" spans="2:4" hidden="1" x14ac:dyDescent="0.25">
      <c r="B49" s="42" t="s">
        <v>34</v>
      </c>
      <c r="C49" s="42" t="s">
        <v>36</v>
      </c>
      <c r="D49" s="44">
        <v>1</v>
      </c>
    </row>
    <row r="50" spans="2:4" hidden="1" x14ac:dyDescent="0.25">
      <c r="B50" s="42" t="s">
        <v>34</v>
      </c>
      <c r="C50" s="42" t="s">
        <v>37</v>
      </c>
      <c r="D50" s="44">
        <v>50</v>
      </c>
    </row>
    <row r="51" spans="2:4" hidden="1" x14ac:dyDescent="0.25">
      <c r="B51" s="42" t="s">
        <v>34</v>
      </c>
      <c r="C51" s="42" t="s">
        <v>37</v>
      </c>
      <c r="D51" s="44">
        <v>14</v>
      </c>
    </row>
    <row r="52" spans="2:4" hidden="1" x14ac:dyDescent="0.25">
      <c r="B52" s="42" t="s">
        <v>34</v>
      </c>
      <c r="C52" s="42" t="s">
        <v>37</v>
      </c>
      <c r="D52" s="44">
        <v>8</v>
      </c>
    </row>
    <row r="53" spans="2:4" hidden="1" x14ac:dyDescent="0.25">
      <c r="B53" s="42" t="s">
        <v>34</v>
      </c>
      <c r="C53" s="42" t="s">
        <v>37</v>
      </c>
      <c r="D53" s="44">
        <v>7</v>
      </c>
    </row>
    <row r="54" spans="2:4" hidden="1" x14ac:dyDescent="0.25">
      <c r="B54" s="42" t="s">
        <v>34</v>
      </c>
      <c r="C54" s="42" t="s">
        <v>37</v>
      </c>
      <c r="D54" s="44">
        <v>6</v>
      </c>
    </row>
    <row r="55" spans="2:4" hidden="1" x14ac:dyDescent="0.25">
      <c r="B55" s="42" t="s">
        <v>34</v>
      </c>
      <c r="C55" s="42" t="s">
        <v>37</v>
      </c>
      <c r="D55" s="44">
        <v>4</v>
      </c>
    </row>
    <row r="56" spans="2:4" hidden="1" x14ac:dyDescent="0.25">
      <c r="B56" s="42" t="s">
        <v>34</v>
      </c>
      <c r="C56" s="42" t="s">
        <v>37</v>
      </c>
      <c r="D56" s="44">
        <v>2</v>
      </c>
    </row>
    <row r="57" spans="2:4" hidden="1" x14ac:dyDescent="0.25">
      <c r="B57" s="42" t="s">
        <v>34</v>
      </c>
      <c r="C57" s="42" t="s">
        <v>37</v>
      </c>
      <c r="D57" s="44">
        <v>1</v>
      </c>
    </row>
    <row r="58" spans="2:4" hidden="1" x14ac:dyDescent="0.25">
      <c r="B58" s="42" t="s">
        <v>38</v>
      </c>
      <c r="C58" s="42" t="s">
        <v>35</v>
      </c>
      <c r="D58" s="44">
        <v>3000</v>
      </c>
    </row>
    <row r="59" spans="2:4" hidden="1" x14ac:dyDescent="0.25">
      <c r="B59" s="42" t="s">
        <v>38</v>
      </c>
      <c r="C59" s="42" t="s">
        <v>35</v>
      </c>
      <c r="D59" s="44">
        <v>2000</v>
      </c>
    </row>
    <row r="60" spans="2:4" hidden="1" x14ac:dyDescent="0.25">
      <c r="B60" s="42" t="s">
        <v>38</v>
      </c>
      <c r="C60" s="42" t="s">
        <v>35</v>
      </c>
      <c r="D60" s="44">
        <v>750</v>
      </c>
    </row>
    <row r="61" spans="2:4" hidden="1" x14ac:dyDescent="0.25">
      <c r="B61" s="42" t="s">
        <v>38</v>
      </c>
      <c r="C61" s="42" t="s">
        <v>35</v>
      </c>
      <c r="D61" s="44">
        <v>400</v>
      </c>
    </row>
    <row r="62" spans="2:4" hidden="1" x14ac:dyDescent="0.25">
      <c r="B62" s="42" t="s">
        <v>38</v>
      </c>
      <c r="C62" s="42" t="s">
        <v>35</v>
      </c>
      <c r="D62" s="44">
        <v>200</v>
      </c>
    </row>
    <row r="63" spans="2:4" hidden="1" x14ac:dyDescent="0.25">
      <c r="B63" s="42" t="s">
        <v>38</v>
      </c>
      <c r="C63" s="42" t="s">
        <v>36</v>
      </c>
      <c r="D63" s="44">
        <v>750</v>
      </c>
    </row>
    <row r="64" spans="2:4" hidden="1" x14ac:dyDescent="0.25">
      <c r="B64" s="42" t="s">
        <v>38</v>
      </c>
      <c r="C64" s="42" t="s">
        <v>36</v>
      </c>
      <c r="D64" s="44">
        <v>400</v>
      </c>
    </row>
    <row r="65" spans="2:4" hidden="1" x14ac:dyDescent="0.25">
      <c r="B65" s="42" t="s">
        <v>38</v>
      </c>
      <c r="C65" s="42" t="s">
        <v>36</v>
      </c>
      <c r="D65" s="44">
        <v>350</v>
      </c>
    </row>
    <row r="66" spans="2:4" hidden="1" x14ac:dyDescent="0.25">
      <c r="B66" s="42" t="s">
        <v>38</v>
      </c>
      <c r="C66" s="42" t="s">
        <v>36</v>
      </c>
      <c r="D66" s="44">
        <v>270</v>
      </c>
    </row>
    <row r="67" spans="2:4" hidden="1" x14ac:dyDescent="0.25">
      <c r="B67" s="42" t="s">
        <v>38</v>
      </c>
      <c r="C67" s="42" t="s">
        <v>36</v>
      </c>
      <c r="D67" s="44">
        <v>200</v>
      </c>
    </row>
    <row r="68" spans="2:4" hidden="1" x14ac:dyDescent="0.25">
      <c r="B68" s="42" t="s">
        <v>38</v>
      </c>
      <c r="C68" s="42" t="s">
        <v>36</v>
      </c>
      <c r="D68" s="44">
        <v>125</v>
      </c>
    </row>
    <row r="69" spans="2:4" hidden="1" x14ac:dyDescent="0.25">
      <c r="B69" s="42" t="s">
        <v>38</v>
      </c>
      <c r="C69" s="42" t="s">
        <v>36</v>
      </c>
      <c r="D69" s="44">
        <v>80</v>
      </c>
    </row>
    <row r="70" spans="2:4" hidden="1" x14ac:dyDescent="0.25">
      <c r="B70" s="42" t="s">
        <v>38</v>
      </c>
      <c r="C70" s="42" t="s">
        <v>37</v>
      </c>
      <c r="D70" s="44">
        <v>250</v>
      </c>
    </row>
    <row r="71" spans="2:4" hidden="1" x14ac:dyDescent="0.25">
      <c r="B71" s="42" t="s">
        <v>38</v>
      </c>
      <c r="C71" s="42" t="s">
        <v>37</v>
      </c>
      <c r="D71" s="44">
        <v>175</v>
      </c>
    </row>
    <row r="72" spans="2:4" hidden="1" x14ac:dyDescent="0.25">
      <c r="B72" s="42" t="s">
        <v>38</v>
      </c>
      <c r="C72" s="42" t="s">
        <v>37</v>
      </c>
      <c r="D72" s="44">
        <v>150</v>
      </c>
    </row>
    <row r="73" spans="2:4" hidden="1" x14ac:dyDescent="0.25">
      <c r="B73" s="42" t="s">
        <v>38</v>
      </c>
      <c r="C73" s="42" t="s">
        <v>37</v>
      </c>
      <c r="D73" s="44">
        <v>120</v>
      </c>
    </row>
    <row r="74" spans="2:4" hidden="1" x14ac:dyDescent="0.25">
      <c r="B74" s="42" t="s">
        <v>38</v>
      </c>
      <c r="C74" s="42" t="s">
        <v>37</v>
      </c>
      <c r="D74" s="44">
        <v>60</v>
      </c>
    </row>
    <row r="75" spans="2:4" hidden="1" x14ac:dyDescent="0.25">
      <c r="B75" s="43" t="s">
        <v>72</v>
      </c>
      <c r="C75" s="42" t="s">
        <v>35</v>
      </c>
      <c r="D75" s="44">
        <v>3000</v>
      </c>
    </row>
    <row r="76" spans="2:4" hidden="1" x14ac:dyDescent="0.25">
      <c r="B76" s="43" t="s">
        <v>72</v>
      </c>
      <c r="C76" s="42" t="s">
        <v>35</v>
      </c>
      <c r="D76" s="44">
        <v>2000</v>
      </c>
    </row>
    <row r="77" spans="2:4" hidden="1" x14ac:dyDescent="0.25">
      <c r="B77" s="43" t="s">
        <v>72</v>
      </c>
      <c r="C77" s="42" t="s">
        <v>35</v>
      </c>
      <c r="D77" s="44">
        <v>750</v>
      </c>
    </row>
    <row r="78" spans="2:4" hidden="1" x14ac:dyDescent="0.25">
      <c r="B78" s="43" t="s">
        <v>72</v>
      </c>
      <c r="C78" s="42" t="s">
        <v>35</v>
      </c>
      <c r="D78" s="44">
        <v>400</v>
      </c>
    </row>
    <row r="79" spans="2:4" hidden="1" x14ac:dyDescent="0.25">
      <c r="B79" s="43" t="s">
        <v>72</v>
      </c>
      <c r="C79" s="42" t="s">
        <v>35</v>
      </c>
      <c r="D79" s="44">
        <v>200</v>
      </c>
    </row>
    <row r="80" spans="2:4" hidden="1" x14ac:dyDescent="0.25">
      <c r="B80" s="43" t="s">
        <v>72</v>
      </c>
      <c r="C80" s="42" t="s">
        <v>36</v>
      </c>
      <c r="D80" s="44">
        <v>750</v>
      </c>
    </row>
    <row r="81" spans="2:4" hidden="1" x14ac:dyDescent="0.25">
      <c r="B81" s="43" t="s">
        <v>72</v>
      </c>
      <c r="C81" s="42" t="s">
        <v>36</v>
      </c>
      <c r="D81" s="44">
        <v>400</v>
      </c>
    </row>
    <row r="82" spans="2:4" hidden="1" x14ac:dyDescent="0.25">
      <c r="B82" s="43" t="s">
        <v>72</v>
      </c>
      <c r="C82" s="42" t="s">
        <v>36</v>
      </c>
      <c r="D82" s="44">
        <v>350</v>
      </c>
    </row>
    <row r="83" spans="2:4" hidden="1" x14ac:dyDescent="0.25">
      <c r="B83" s="43" t="s">
        <v>72</v>
      </c>
      <c r="C83" s="42" t="s">
        <v>36</v>
      </c>
      <c r="D83" s="44">
        <v>270</v>
      </c>
    </row>
    <row r="84" spans="2:4" hidden="1" x14ac:dyDescent="0.25">
      <c r="B84" s="43" t="s">
        <v>72</v>
      </c>
      <c r="C84" s="42" t="s">
        <v>36</v>
      </c>
      <c r="D84" s="44">
        <v>200</v>
      </c>
    </row>
    <row r="85" spans="2:4" hidden="1" x14ac:dyDescent="0.25">
      <c r="B85" s="43" t="s">
        <v>72</v>
      </c>
      <c r="C85" s="42" t="s">
        <v>36</v>
      </c>
      <c r="D85" s="44">
        <v>125</v>
      </c>
    </row>
    <row r="86" spans="2:4" hidden="1" x14ac:dyDescent="0.25">
      <c r="B86" s="43" t="s">
        <v>72</v>
      </c>
      <c r="C86" s="42" t="s">
        <v>36</v>
      </c>
      <c r="D86" s="44">
        <v>80</v>
      </c>
    </row>
    <row r="87" spans="2:4" hidden="1" x14ac:dyDescent="0.25">
      <c r="B87" s="43" t="s">
        <v>72</v>
      </c>
      <c r="C87" s="42" t="s">
        <v>37</v>
      </c>
      <c r="D87" s="44">
        <v>250</v>
      </c>
    </row>
    <row r="88" spans="2:4" hidden="1" x14ac:dyDescent="0.25">
      <c r="B88" s="43" t="s">
        <v>72</v>
      </c>
      <c r="C88" s="42" t="s">
        <v>37</v>
      </c>
      <c r="D88" s="44">
        <v>175</v>
      </c>
    </row>
    <row r="89" spans="2:4" hidden="1" x14ac:dyDescent="0.25">
      <c r="B89" s="43" t="s">
        <v>72</v>
      </c>
      <c r="C89" s="42" t="s">
        <v>37</v>
      </c>
      <c r="D89" s="44">
        <v>150</v>
      </c>
    </row>
    <row r="90" spans="2:4" hidden="1" x14ac:dyDescent="0.25">
      <c r="B90" s="43" t="s">
        <v>72</v>
      </c>
      <c r="C90" s="42" t="s">
        <v>37</v>
      </c>
      <c r="D90" s="44">
        <v>120</v>
      </c>
    </row>
    <row r="91" spans="2:4" hidden="1" x14ac:dyDescent="0.25">
      <c r="B91" s="43" t="s">
        <v>72</v>
      </c>
      <c r="C91" s="42" t="s">
        <v>37</v>
      </c>
      <c r="D91" s="44">
        <v>60</v>
      </c>
    </row>
    <row r="92" spans="2:4" hidden="1" x14ac:dyDescent="0.25">
      <c r="B92" s="42" t="s">
        <v>39</v>
      </c>
      <c r="C92" s="42" t="s">
        <v>35</v>
      </c>
      <c r="D92" s="44">
        <v>3000</v>
      </c>
    </row>
    <row r="93" spans="2:4" hidden="1" x14ac:dyDescent="0.25">
      <c r="B93" s="42" t="s">
        <v>39</v>
      </c>
      <c r="C93" s="42" t="s">
        <v>35</v>
      </c>
      <c r="D93" s="44">
        <v>2400</v>
      </c>
    </row>
    <row r="94" spans="2:4" hidden="1" x14ac:dyDescent="0.25">
      <c r="B94" s="42" t="s">
        <v>39</v>
      </c>
      <c r="C94" s="42" t="s">
        <v>36</v>
      </c>
      <c r="D94" s="44">
        <v>2400</v>
      </c>
    </row>
    <row r="95" spans="2:4" hidden="1" x14ac:dyDescent="0.25">
      <c r="B95" s="43" t="s">
        <v>73</v>
      </c>
      <c r="C95" s="42" t="s">
        <v>35</v>
      </c>
      <c r="D95" s="44">
        <v>3000</v>
      </c>
    </row>
    <row r="96" spans="2:4" hidden="1" x14ac:dyDescent="0.25">
      <c r="B96" s="43" t="s">
        <v>73</v>
      </c>
      <c r="C96" s="42" t="s">
        <v>35</v>
      </c>
      <c r="D96" s="44">
        <v>2000</v>
      </c>
    </row>
    <row r="97" spans="2:4" hidden="1" x14ac:dyDescent="0.25">
      <c r="B97" s="43" t="s">
        <v>73</v>
      </c>
      <c r="C97" s="42" t="s">
        <v>35</v>
      </c>
      <c r="D97" s="44">
        <v>750</v>
      </c>
    </row>
    <row r="98" spans="2:4" hidden="1" x14ac:dyDescent="0.25">
      <c r="B98" s="43" t="s">
        <v>73</v>
      </c>
      <c r="C98" s="42" t="s">
        <v>35</v>
      </c>
      <c r="D98" s="44">
        <v>400</v>
      </c>
    </row>
    <row r="99" spans="2:4" hidden="1" x14ac:dyDescent="0.25">
      <c r="B99" s="43" t="s">
        <v>73</v>
      </c>
      <c r="C99" s="42" t="s">
        <v>35</v>
      </c>
      <c r="D99" s="44">
        <v>200</v>
      </c>
    </row>
    <row r="100" spans="2:4" hidden="1" x14ac:dyDescent="0.25">
      <c r="B100" s="43" t="s">
        <v>73</v>
      </c>
      <c r="C100" s="42" t="s">
        <v>36</v>
      </c>
      <c r="D100" s="44">
        <v>750</v>
      </c>
    </row>
    <row r="101" spans="2:4" hidden="1" x14ac:dyDescent="0.25">
      <c r="B101" s="43" t="s">
        <v>73</v>
      </c>
      <c r="C101" s="42" t="s">
        <v>36</v>
      </c>
      <c r="D101" s="44">
        <v>400</v>
      </c>
    </row>
    <row r="102" spans="2:4" hidden="1" x14ac:dyDescent="0.25">
      <c r="B102" s="43" t="s">
        <v>73</v>
      </c>
      <c r="C102" s="42" t="s">
        <v>36</v>
      </c>
      <c r="D102" s="44">
        <v>350</v>
      </c>
    </row>
    <row r="103" spans="2:4" hidden="1" x14ac:dyDescent="0.25">
      <c r="B103" s="43" t="s">
        <v>73</v>
      </c>
      <c r="C103" s="42" t="s">
        <v>36</v>
      </c>
      <c r="D103" s="44">
        <v>270</v>
      </c>
    </row>
    <row r="104" spans="2:4" hidden="1" x14ac:dyDescent="0.25">
      <c r="B104" s="43" t="s">
        <v>73</v>
      </c>
      <c r="C104" s="42" t="s">
        <v>36</v>
      </c>
      <c r="D104" s="44">
        <v>200</v>
      </c>
    </row>
    <row r="105" spans="2:4" hidden="1" x14ac:dyDescent="0.25">
      <c r="B105" s="43" t="s">
        <v>73</v>
      </c>
      <c r="C105" s="42" t="s">
        <v>36</v>
      </c>
      <c r="D105" s="44">
        <v>125</v>
      </c>
    </row>
    <row r="106" spans="2:4" hidden="1" x14ac:dyDescent="0.25">
      <c r="B106" s="43" t="s">
        <v>73</v>
      </c>
      <c r="C106" s="42" t="s">
        <v>36</v>
      </c>
      <c r="D106" s="44">
        <v>80</v>
      </c>
    </row>
    <row r="107" spans="2:4" hidden="1" x14ac:dyDescent="0.25">
      <c r="B107" s="43" t="s">
        <v>73</v>
      </c>
      <c r="C107" s="42" t="s">
        <v>37</v>
      </c>
      <c r="D107" s="44">
        <v>250</v>
      </c>
    </row>
    <row r="108" spans="2:4" hidden="1" x14ac:dyDescent="0.25">
      <c r="B108" s="43" t="s">
        <v>73</v>
      </c>
      <c r="C108" s="42" t="s">
        <v>37</v>
      </c>
      <c r="D108" s="44">
        <v>175</v>
      </c>
    </row>
    <row r="109" spans="2:4" hidden="1" x14ac:dyDescent="0.25">
      <c r="B109" s="43" t="s">
        <v>73</v>
      </c>
      <c r="C109" s="42" t="s">
        <v>37</v>
      </c>
      <c r="D109" s="44">
        <v>150</v>
      </c>
    </row>
    <row r="110" spans="2:4" hidden="1" x14ac:dyDescent="0.25">
      <c r="B110" s="43" t="s">
        <v>73</v>
      </c>
      <c r="C110" s="42" t="s">
        <v>37</v>
      </c>
      <c r="D110" s="44">
        <v>120</v>
      </c>
    </row>
    <row r="111" spans="2:4" hidden="1" x14ac:dyDescent="0.25">
      <c r="B111" s="43" t="s">
        <v>73</v>
      </c>
      <c r="C111" s="42" t="s">
        <v>37</v>
      </c>
      <c r="D111" s="44">
        <v>60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21C+01</vt:lpstr>
      <vt:lpstr>HPA-data</vt:lpstr>
      <vt:lpstr>ALC_ON</vt:lpstr>
      <vt:lpstr>'HPA-data'!HPA_Klys_C</vt:lpstr>
      <vt:lpstr>'HPA-data'!HPA_Klys_Ku</vt:lpstr>
      <vt:lpstr>'HPA-data'!HPA_Lin_TWTA_C</vt:lpstr>
      <vt:lpstr>'HPA-data'!HPA_Lin_TWTA_Ka</vt:lpstr>
      <vt:lpstr>'HPA-data'!HPA_Lin_TWTA_Ku</vt:lpstr>
      <vt:lpstr>'HPA-data'!HPA_SSPA_C</vt:lpstr>
      <vt:lpstr>'HPA-data'!HPA_SSPA_Ka</vt:lpstr>
      <vt:lpstr>'HPA-data'!HPA_SSPA_Ku</vt:lpstr>
      <vt:lpstr>'HPA-data'!HPA_TWTA_C</vt:lpstr>
      <vt:lpstr>'HPA-data'!HPA_TWTA_Ka</vt:lpstr>
      <vt:lpstr>'HPA-data'!HPA_TWTA_Ku</vt:lpstr>
      <vt:lpstr>HPA_type</vt:lpstr>
    </vt:vector>
  </TitlesOfParts>
  <Manager/>
  <Company>SES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SLBT QUICK TPD LB REPORT</dc:title>
  <dc:subject>TPD-COLUMN oriented-Report</dc:subject>
  <dc:creator>L.EMILIANI</dc:creator>
  <cp:keywords>6.925; REPORT; QUICK</cp:keywords>
  <dc:description>Corrects sign of skew angle. Merges diam and type. Adds p.loss and eff. ant. gain. Fixes Ant. Type (C) 2025</dc:description>
  <cp:lastModifiedBy>Williams, LaTora C (WAS - X75943)</cp:lastModifiedBy>
  <dcterms:created xsi:type="dcterms:W3CDTF">2017-01-10T17:23:01Z</dcterms:created>
  <dcterms:modified xsi:type="dcterms:W3CDTF">2025-07-08T18:06:39Z</dcterms:modified>
  <cp:category>LB;TPD</cp:category>
  <cp:contentStatus>PRODUCTION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i4>6</vt:i4>
  </property>
  <property fmtid="{D5CDD505-2E9C-101B-9397-08002B2CF9AE}" pid="3" name="SES_VERSION">
    <vt:lpwstr>6.925</vt:lpwstr>
  </property>
  <property fmtid="{D5CDD505-2E9C-101B-9397-08002B2CF9AE}" pid="4" name="MSIP_Label_74b4a4d2-f55e-4cb1-9d3d-d9e45016299a_Enabled">
    <vt:lpwstr>true</vt:lpwstr>
  </property>
  <property fmtid="{D5CDD505-2E9C-101B-9397-08002B2CF9AE}" pid="5" name="MSIP_Label_74b4a4d2-f55e-4cb1-9d3d-d9e45016299a_SetDate">
    <vt:lpwstr>2020-10-13T16:51:21Z</vt:lpwstr>
  </property>
  <property fmtid="{D5CDD505-2E9C-101B-9397-08002B2CF9AE}" pid="6" name="MSIP_Label_74b4a4d2-f55e-4cb1-9d3d-d9e45016299a_Method">
    <vt:lpwstr>Standard</vt:lpwstr>
  </property>
  <property fmtid="{D5CDD505-2E9C-101B-9397-08002B2CF9AE}" pid="7" name="MSIP_Label_74b4a4d2-f55e-4cb1-9d3d-d9e45016299a_Name">
    <vt:lpwstr>Company Use</vt:lpwstr>
  </property>
  <property fmtid="{D5CDD505-2E9C-101B-9397-08002B2CF9AE}" pid="8" name="MSIP_Label_74b4a4d2-f55e-4cb1-9d3d-d9e45016299a_SiteId">
    <vt:lpwstr>88281ca8-e525-4a8d-b965-480a7ac2b970</vt:lpwstr>
  </property>
  <property fmtid="{D5CDD505-2E9C-101B-9397-08002B2CF9AE}" pid="9" name="MSIP_Label_74b4a4d2-f55e-4cb1-9d3d-d9e45016299a_ActionId">
    <vt:lpwstr>8fe01e8d-e452-48c6-b23e-4d369d5d57b5</vt:lpwstr>
  </property>
  <property fmtid="{D5CDD505-2E9C-101B-9397-08002B2CF9AE}" pid="10" name="MSIP_Label_74b4a4d2-f55e-4cb1-9d3d-d9e45016299a_ContentBits">
    <vt:lpwstr>0</vt:lpwstr>
  </property>
  <property fmtid="{D5CDD505-2E9C-101B-9397-08002B2CF9AE}" pid="11" name="_NewReviewCycle">
    <vt:lpwstr/>
  </property>
</Properties>
</file>